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440" windowWidth="23520" windowHeight="14760" activeTab="5"/>
  </bookViews>
  <sheets>
    <sheet name="Данные" sheetId="1" r:id="rId1"/>
    <sheet name="Производство" sheetId="2" r:id="rId2"/>
    <sheet name="Прибыль" sheetId="3" r:id="rId3"/>
    <sheet name="Баланс" sheetId="4" r:id="rId4"/>
    <sheet name="Кэш-фло" sheetId="5" r:id="rId5"/>
    <sheet name="Анализ" sheetId="6" r:id="rId6"/>
    <sheet name="Графики" sheetId="7" r:id="rId7"/>
    <sheet name="Inside" sheetId="8" state="hidden" r:id="rId8"/>
    <sheet name="Расчеты" sheetId="9" state="hidden" r:id="rId9"/>
    <sheet name="SENS" sheetId="10" r:id="rId10"/>
    <sheet name="LangBase" sheetId="11" state="hidden" r:id="rId11"/>
  </sheets>
  <definedNames>
    <definedName name="ANAL_SHARE_1">'Анализ'!$A$50</definedName>
    <definedName name="ANAL_SHARE_2">'Анализ'!$A$53</definedName>
    <definedName name="ANALYSIS_DNCF">'Анализ'!$A$43</definedName>
    <definedName name="ANALYSIS_NCF">'Анализ'!$A$41</definedName>
    <definedName name="ASS_COUNT_1">'Расчеты'!$B$15</definedName>
    <definedName name="ASS_COUNT_2">'Расчеты'!$B$16</definedName>
    <definedName name="ASS_COUNT_3">'Расчеты'!$B$17</definedName>
    <definedName name="ASS_COUNT_4">'Расчеты'!$B$18</definedName>
    <definedName name="ASS_COUNT_5">'Расчеты'!$B$19</definedName>
    <definedName name="ASSETS_TAX">'Данные'!$B$30</definedName>
    <definedName name="CALC_SHARES">'Расчеты'!#REF!</definedName>
    <definedName name="CAPEX_ROW">'Данные'!$A$96</definedName>
    <definedName name="CASH_DEFICIT">'Расчеты'!$B$43</definedName>
    <definedName name="CREDIT_FRA">'Расчеты'!$C$34</definedName>
    <definedName name="CREDIT_INT">'Расчеты'!$B$34</definedName>
    <definedName name="CREDIT_PERIOD">'Данные'!$B$44</definedName>
    <definedName name="CURLANGUAGE">'Расчеты'!$B$40</definedName>
    <definedName name="CURRENCY_NAME">'Расчеты'!$C$55</definedName>
    <definedName name="DATA_ALLLEASES">'Данные'!$A$281</definedName>
    <definedName name="DATA_ALLLOANS">'Данные'!$A$262</definedName>
    <definedName name="DATA_ASSET_1">'Данные'!$A$97</definedName>
    <definedName name="DATA_ASSET_2">'Данные'!$A$99</definedName>
    <definedName name="DATA_ASSET_3">'Данные'!$A$104</definedName>
    <definedName name="DATA_ASSET_4">'Данные'!$A$107</definedName>
    <definedName name="DATA_ASSET_5">'Данные'!$A$113</definedName>
    <definedName name="DATA_ASSET_END">'Данные'!$A$118</definedName>
    <definedName name="DATA_GE_1_FROM">'Данные'!$A$154</definedName>
    <definedName name="DATA_GE_1_TO">'Данные'!$A$164</definedName>
    <definedName name="DATA_GE_2_FROM">'Данные'!$A$165</definedName>
    <definedName name="DATA_GE_2_TO">'Данные'!$A$174</definedName>
    <definedName name="DATA_GE_3_FROM">'Данные'!$A$175</definedName>
    <definedName name="DATA_GE_3_TO">'Данные'!$A$188</definedName>
    <definedName name="DATA_LEASES">'Данные'!$A$272</definedName>
    <definedName name="DATA_LOANS">'Данные'!$A$254</definedName>
    <definedName name="DATA_LOANSST">'Данные'!$A$78</definedName>
    <definedName name="DATA_PERS_1">'Данные'!$A$201</definedName>
    <definedName name="DATA_PERS_2">'Данные'!$A$221</definedName>
    <definedName name="DATA_PERS_3">'Данные'!$A$235</definedName>
    <definedName name="DATA_SHARES">'Данные'!$A$267</definedName>
    <definedName name="DATAPROD_1">'Данные'!$A$12</definedName>
    <definedName name="DATAPROD_2">'Данные'!$A$61</definedName>
    <definedName name="DATAPROD_3">'Данные'!$A$124</definedName>
    <definedName name="DATAPROD_4">'Данные'!$A$131</definedName>
    <definedName name="DATAPROD_5">'Данные'!$A$138</definedName>
    <definedName name="DATAPROD_6">'Данные'!$A$145</definedName>
    <definedName name="DEBIT_FRA">'Расчеты'!$C$33</definedName>
    <definedName name="DEBIT_INT">'Расчеты'!$B$33</definedName>
    <definedName name="DEBIT_PERIOD">'Данные'!$B$43</definedName>
    <definedName name="DISCOUT_FOR_PER">'Расчеты'!$B$26</definedName>
    <definedName name="DIVIDEND_SHARE">'Данные'!$B$270</definedName>
    <definedName name="GE_COUNT_1">'Расчеты'!$B$48</definedName>
    <definedName name="GE_COUNT_2">'Расчеты'!$B$49</definedName>
    <definedName name="GE_COUNT_3">'Расчеты'!$B$50</definedName>
    <definedName name="IN_ASSET_11">'Inside'!$A$81</definedName>
    <definedName name="IN_ASSET_12">'Inside'!$A$84</definedName>
    <definedName name="IN_ASSET_13">'Inside'!$A$90</definedName>
    <definedName name="IN_ASSET_14">'Inside'!$A$94</definedName>
    <definedName name="IN_ASSET_15">'Inside'!$A$101</definedName>
    <definedName name="IN_ASSET_21">'Inside'!$A$107</definedName>
    <definedName name="IN_ASSET_22">'Inside'!$A$110</definedName>
    <definedName name="IN_ASSET_23">'Inside'!$A$116</definedName>
    <definedName name="IN_ASSET_24">'Inside'!$A$120</definedName>
    <definedName name="IN_ASSET_25">'Inside'!$A$127</definedName>
    <definedName name="IN_ASSET_31">'Inside'!$A$133</definedName>
    <definedName name="IN_ASSET_32">'Inside'!$A$136</definedName>
    <definedName name="IN_ASSET_33">'Inside'!$A$142</definedName>
    <definedName name="IN_ASSET_34">'Inside'!$A$146</definedName>
    <definedName name="IN_ASSET_35">'Inside'!$A$153</definedName>
    <definedName name="IN_ASSET_41">'Inside'!$A$159</definedName>
    <definedName name="IN_ASSET_42">'Inside'!$A$162</definedName>
    <definedName name="IN_ASSET_43">'Inside'!$A$168</definedName>
    <definedName name="IN_ASSET_44">'Inside'!$A$172</definedName>
    <definedName name="IN_ASSET_45">'Inside'!$A$179</definedName>
    <definedName name="IN_ASSET_51">'Inside'!$A$185</definedName>
    <definedName name="IN_ASSET_52">'Inside'!$A$188</definedName>
    <definedName name="IN_ASSET_53">'Inside'!$A$194</definedName>
    <definedName name="IN_ASSET_54">'Inside'!$A$198</definedName>
    <definedName name="IN_ASSET_55">'Inside'!$A$205</definedName>
    <definedName name="IN_ASSET_61">'Inside'!$A$211</definedName>
    <definedName name="IN_ASSET_62">'Inside'!$A$214</definedName>
    <definedName name="IN_ASSET_63">'Inside'!$A$220</definedName>
    <definedName name="IN_ASSET_64">'Inside'!$A$224</definedName>
    <definedName name="IN_ASSET_65">'Inside'!$A$231</definedName>
    <definedName name="IN_ASSET_71">'Inside'!$A$237</definedName>
    <definedName name="IN_ASSET_72">'Inside'!$A$240</definedName>
    <definedName name="IN_ASSET_73">'Inside'!$A$246</definedName>
    <definedName name="IN_ASSET_74">'Inside'!$A$250</definedName>
    <definedName name="IN_ASSET_75">'Inside'!$A$257</definedName>
    <definedName name="INSIDE_COST_1">'Inside'!$A$38</definedName>
    <definedName name="INSIDE_COST_2">'Inside'!$A$45</definedName>
    <definedName name="INSIDE_COST_3">'Inside'!$A$52</definedName>
    <definedName name="INSIDE_COST_4">'Inside'!$A$59</definedName>
    <definedName name="INSIDE_COST_5">'Inside'!$A$66</definedName>
    <definedName name="INSIDE_COST_6">'Inside'!$A$73</definedName>
    <definedName name="INSIDE_GE_1">'Inside'!$A$265</definedName>
    <definedName name="INSIDE_GE_2">'Inside'!$A$276</definedName>
    <definedName name="INSIDE_GE_3">'Inside'!$A$286</definedName>
    <definedName name="INSIDE_GE_VAT_1">'Inside'!$A$301</definedName>
    <definedName name="INSIDE_GE_VAT_2">'Inside'!$A$312</definedName>
    <definedName name="INSIDE_GE_VAT_3">'Inside'!$A$322</definedName>
    <definedName name="INSIDE_PERS_1">'Inside'!$A$342</definedName>
    <definedName name="INSIDE_PERS_2">'Inside'!$A$362</definedName>
    <definedName name="INSIDE_PERS_3">'Inside'!$A$376</definedName>
    <definedName name="INSIDE_PROD_1">'Inside'!$A$8</definedName>
    <definedName name="INSIDE_PROD_2">'Inside'!$A$15</definedName>
    <definedName name="INSIDE_PROD_3">'Inside'!$A$22</definedName>
    <definedName name="INSIDE_PROD_4">'Inside'!$A$29</definedName>
    <definedName name="INSIDE_SHARE_1">'Inside'!$A$386</definedName>
    <definedName name="INSIDE_SHARE_2">'Inside'!$A$389</definedName>
    <definedName name="INSIDE_SHARE_3">'Inside'!$A$392</definedName>
    <definedName name="INTER_RATE_1">'Данные'!$B$259</definedName>
    <definedName name="INTER_RATE_2">'Данные'!#REF!</definedName>
    <definedName name="INTER_RATE_3">'Данные'!#REF!</definedName>
    <definedName name="INVENT_FRA">'Расчеты'!$C$35</definedName>
    <definedName name="INVENT_INT">'Расчеты'!$B$35</definedName>
    <definedName name="INVENT_PERIOD">'Данные'!$B$42</definedName>
    <definedName name="IS_DEMO">'Расчеты'!$B$61</definedName>
    <definedName name="IS_PRO">'Расчеты'!$B$5</definedName>
    <definedName name="LANG_SELECTION_PROMPT">'Данные'!$A$22</definedName>
    <definedName name="LEASES_NUM">'Расчеты'!$B$24</definedName>
    <definedName name="LINK_TO_SENS">'Данные'!#REF!</definedName>
    <definedName name="LIST_PERLEN">'Расчеты'!$B$6</definedName>
    <definedName name="LIST_STARTMON">'Расчеты'!$B$9</definedName>
    <definedName name="LIST_STARTYEAR">'Расчеты'!$B$10</definedName>
    <definedName name="LOANS_NUM">'Расчеты'!$B$22</definedName>
    <definedName name="MAX_DURATION">'Расчеты'!$B$41</definedName>
    <definedName name="MAX_SENS_OFFSET">'Расчеты'!$B$44</definedName>
    <definedName name="NPV">'Анализ'!$B$44</definedName>
    <definedName name="PART_CAPEX">'Данные'!$A$94</definedName>
    <definedName name="PART_FINANCE">'Данные'!$A$250</definedName>
    <definedName name="PART_GENEXP">'Данные'!$A$152</definedName>
    <definedName name="PART_PARAMETER">'Данные'!$A$1</definedName>
    <definedName name="PART_PERSONNEL">'Данные'!$A$199</definedName>
    <definedName name="PART_SALES">'Данные'!$A$122</definedName>
    <definedName name="PART_START">'Данные'!$A$48</definedName>
    <definedName name="PART_TAXES">'Данные'!$A$25</definedName>
    <definedName name="PERIOD_LEN">'Расчеты'!$B$7</definedName>
    <definedName name="PERS_COUNT_1">'Расчеты'!$B$51</definedName>
    <definedName name="PERS_COUNT_2">'Расчеты'!$B$52</definedName>
    <definedName name="PERS_COUNT_3">'Расчеты'!$B$53</definedName>
    <definedName name="_xlnm.Print_Titles" localSheetId="2">'Прибыль'!$A:$A</definedName>
    <definedName name="PRJ_DURATION">'Расчеты'!$B$8</definedName>
    <definedName name="PRJ_NAME">'Данные'!$A$4</definedName>
    <definedName name="PROD_1">'Производство'!$A$6</definedName>
    <definedName name="PROD_2">'Производство'!$A$14</definedName>
    <definedName name="PROD_3">'Производство'!$A$22</definedName>
    <definedName name="PROD_4">'Производство'!$A$33</definedName>
    <definedName name="PROD_5">'Производство'!$A$41</definedName>
    <definedName name="PROD_6">'Производство'!$A$49</definedName>
    <definedName name="PROD_7">'Производство'!$A$59</definedName>
    <definedName name="PROD_8">'Производство'!$A$67</definedName>
    <definedName name="PRODNUM_SELECTION">'Данные'!$A$11</definedName>
    <definedName name="PRODUCTS_NUM">'Расчеты'!$B$13</definedName>
    <definedName name="PROFIT_TAX">'Данные'!$B$28</definedName>
    <definedName name="SALARY_TAX">'Данные'!$B$32</definedName>
    <definedName name="SALES_TAX">'Данные'!$B$31</definedName>
    <definedName name="SHARES_NUM">'Расчеты'!$B$23</definedName>
    <definedName name="STOCKS_PERIOD">'Данные'!$B$42</definedName>
    <definedName name="TOTAL_GEXP_ROW">'Данные'!$A$197</definedName>
    <definedName name="VAT">'Данные'!$B$29</definedName>
    <definedName name="VAT_REPAY">'Расчеты'!$B$21</definedName>
    <definedName name="WACC">'Данные'!$B$46</definedName>
  </definedNames>
  <calcPr fullCalcOnLoad="1"/>
</workbook>
</file>

<file path=xl/comments1.xml><?xml version="1.0" encoding="utf-8"?>
<comments xmlns="http://schemas.openxmlformats.org/spreadsheetml/2006/main">
  <authors>
    <author>OLYMP:FINANS</author>
    <author>МаркетингМикс</author>
  </authors>
  <commentList>
    <comment ref="B61" authorId="0">
      <text>
        <r>
          <rPr>
            <sz val="8"/>
            <rFont val="Tahoma"/>
            <family val="0"/>
          </rPr>
          <t xml:space="preserve">Сумма начальных запасов будет учтена при расчете затрат на закупку сырья и комплектующих.
Обратите внимание! Сумма запасов в этой графе не включает НДС, т.е. запас  в размере $1000 уменьшит график закупок в кэш-фло на $1180 (при НДС=18%)
</t>
        </r>
      </text>
    </comment>
    <comment ref="B79" authorId="0">
      <text>
        <r>
          <rPr>
            <sz val="8"/>
            <rFont val="Tahoma"/>
            <family val="0"/>
          </rPr>
          <t>Обратите внимание!
Здесь надо указывать только ту часть кредита, которая была получена еще ДО начала проекта, т.е. текущие долги компании.
Займы, требуемые для осуществления проекта, описываются в разделе "Финансирование"</t>
        </r>
      </text>
    </comment>
    <comment ref="B82" authorId="0">
      <text>
        <r>
          <rPr>
            <sz val="8"/>
            <rFont val="Tahoma"/>
            <family val="0"/>
          </rPr>
          <t>Здесь указывается только текущий уставной капитал компании.
Требуемые для реализации проекта вложения акционерного капитала описываются в разделе "Финансирование".</t>
        </r>
      </text>
    </comment>
    <comment ref="A279" authorId="1">
      <text>
        <r>
          <rPr>
            <sz val="8"/>
            <rFont val="Tahoma"/>
            <family val="0"/>
          </rPr>
          <t>Предложен график платежей с немедленной выплатой начисленных процентов. Вы можете отредактировать его.</t>
        </r>
      </text>
    </comment>
  </commentList>
</comments>
</file>

<file path=xl/sharedStrings.xml><?xml version="1.0" encoding="utf-8"?>
<sst xmlns="http://schemas.openxmlformats.org/spreadsheetml/2006/main" count="877" uniqueCount="579">
  <si>
    <t>Материалы/комплектующие</t>
  </si>
  <si>
    <t>Уплачено за закупку (с учетом кредиторки)</t>
  </si>
  <si>
    <t>Суммы НДС, выплаченные поставщикам</t>
  </si>
  <si>
    <t>D_INT</t>
  </si>
  <si>
    <t>D_FRA</t>
  </si>
  <si>
    <t>реал. НДС</t>
  </si>
  <si>
    <t>Закуп. 0</t>
  </si>
  <si>
    <t>I_INT</t>
  </si>
  <si>
    <t>I_FRA</t>
  </si>
  <si>
    <t>Потребность в закупке материалов/комплектующих (производство, сдвинутое на запасы)</t>
  </si>
  <si>
    <t>Закупка с учетом запаса на начало проекта</t>
  </si>
  <si>
    <t>Зап. с НДС</t>
  </si>
  <si>
    <t>C_INT</t>
  </si>
  <si>
    <t>C_FRA</t>
  </si>
  <si>
    <t>Баланс по НДС</t>
  </si>
  <si>
    <t>Интернет доступ</t>
  </si>
  <si>
    <t>Покупка веб камер</t>
  </si>
  <si>
    <t>Покупка кино камер</t>
  </si>
  <si>
    <t>Покупка радио систем</t>
  </si>
  <si>
    <t>покупка сервера</t>
  </si>
  <si>
    <t>Оборудование системы видеонаблюденя</t>
  </si>
  <si>
    <t>Кухонный гарнитур и спальные места</t>
  </si>
  <si>
    <t>сантехника, душевые кабинки</t>
  </si>
  <si>
    <t>тренажеры для спорта</t>
  </si>
  <si>
    <t>Если Вы хотите изменить его, отредактируйте данные первой таблицы (Производство).</t>
  </si>
  <si>
    <t>Остальные таблицы являются справочными, их изменять не следует.</t>
  </si>
  <si>
    <t>Дисконтированные доходы бюджета:</t>
  </si>
  <si>
    <t>в год</t>
  </si>
  <si>
    <t>Ставка дисконтирования доходов бюджета:</t>
  </si>
  <si>
    <t xml:space="preserve">    Fixed Salary - Production</t>
  </si>
  <si>
    <t xml:space="preserve">    Fixed Salary - Administration</t>
  </si>
  <si>
    <t xml:space="preserve">    Fixed Salary - Marketing</t>
  </si>
  <si>
    <t xml:space="preserve">    Social Insurance Tax</t>
  </si>
  <si>
    <t xml:space="preserve">    Production Expenses</t>
  </si>
  <si>
    <t xml:space="preserve">    Administrative &amp; Office Expenses</t>
  </si>
  <si>
    <t>Revenue method based on:</t>
  </si>
  <si>
    <t xml:space="preserve">    Net Cash Flow (NCF)</t>
  </si>
  <si>
    <t xml:space="preserve">    Net Profit</t>
  </si>
  <si>
    <t xml:space="preserve">    Earnings Before Interest and Tax</t>
  </si>
  <si>
    <t xml:space="preserve">    -- // -- and Depreciation and Amortization</t>
  </si>
  <si>
    <t xml:space="preserve">    Dividends</t>
  </si>
  <si>
    <t xml:space="preserve">    Dividends + Assets</t>
  </si>
  <si>
    <t xml:space="preserve">    Dividends + Continued Value</t>
  </si>
  <si>
    <t>REVENUE OF THE SHAREHOLDERS</t>
  </si>
  <si>
    <t>Efficiency</t>
  </si>
  <si>
    <t>GOVERNMENT REVENUES</t>
  </si>
  <si>
    <t>Discount rate for taxes</t>
  </si>
  <si>
    <t>Revenue of the government</t>
  </si>
  <si>
    <t>Profit Tax</t>
  </si>
  <si>
    <t>Аренда помещения для съемки шоу</t>
  </si>
  <si>
    <t>ведущий - 1+1  x 10 000 = 20 000</t>
  </si>
  <si>
    <t>Сценарист – 2 x 15 000 = 30 000</t>
  </si>
  <si>
    <t xml:space="preserve">Режиссер -1 x 20 000 </t>
  </si>
  <si>
    <t>операторы - 2+2 x 15 000 = 60 000</t>
  </si>
  <si>
    <t>монтажер 2+2 x 15 000 = 60 000</t>
  </si>
  <si>
    <t>техперсонал (свет, еда, - 2+ 2 x 10 000 = 40 000</t>
  </si>
  <si>
    <t>уборщики – 2 x 10 000 = 20 000</t>
  </si>
  <si>
    <t>пиар менеджер – 2 x 15000 = 30 000</t>
  </si>
  <si>
    <t>Персонал: административный</t>
  </si>
  <si>
    <t>Перечень продуктов проекта</t>
  </si>
  <si>
    <t>Наименования:</t>
  </si>
  <si>
    <t>Активов: здания</t>
  </si>
  <si>
    <t>Активов: оборудование</t>
  </si>
  <si>
    <t>Активов: транспорт</t>
  </si>
  <si>
    <t>Операционная деятельность</t>
  </si>
  <si>
    <t>Чистый денежный поток</t>
  </si>
  <si>
    <t>График окупаемости проекта</t>
  </si>
  <si>
    <t>Максимальные отклонения параметров</t>
  </si>
  <si>
    <t>Зависимость NPV от отклонения параметров</t>
  </si>
  <si>
    <t>Снижение объема продаж</t>
  </si>
  <si>
    <t>Снижение цены продуктов/услуг</t>
  </si>
  <si>
    <t>Увеличение прямых издержек</t>
  </si>
  <si>
    <t>Value Added Tax</t>
  </si>
  <si>
    <t>Property Tax</t>
  </si>
  <si>
    <t>Sales Taxes</t>
  </si>
  <si>
    <t>Social Insurance</t>
  </si>
  <si>
    <t>Total Taxes</t>
  </si>
  <si>
    <t>Discounted Taxes</t>
  </si>
  <si>
    <t>Total Discounted Revenue</t>
  </si>
  <si>
    <t>Dividends</t>
  </si>
  <si>
    <t>&lt;должность&gt;</t>
  </si>
  <si>
    <t>Покупка трафика</t>
  </si>
  <si>
    <t>генеральный продюсер</t>
  </si>
  <si>
    <t>Оснащение съемочных бригад и монтажных</t>
  </si>
  <si>
    <t>продюсер – 1  20 000</t>
  </si>
  <si>
    <t>директор – 1  - 20 000</t>
  </si>
  <si>
    <t xml:space="preserve">юрист – 1 = 10 000 </t>
  </si>
  <si>
    <t xml:space="preserve">дизайнер – 20 000 </t>
  </si>
  <si>
    <t>программист – 80 000</t>
  </si>
  <si>
    <t>Активов: оргтехника</t>
  </si>
  <si>
    <t>Активов: другое</t>
  </si>
  <si>
    <t>Продукты: Получено денег</t>
  </si>
  <si>
    <t>Продукты: Параметры</t>
  </si>
  <si>
    <t>Налоги с продаж, начисленные на каждый продукт</t>
  </si>
  <si>
    <t>Продукты: Получено НДС</t>
  </si>
  <si>
    <t>НДС</t>
  </si>
  <si>
    <t>НСП</t>
  </si>
  <si>
    <t>дебиторка</t>
  </si>
  <si>
    <t>из приб.</t>
  </si>
  <si>
    <t>Денежные поступления, включая НДС и налоги с продаж</t>
  </si>
  <si>
    <t>Суммы НДС, полученные от покупателей</t>
  </si>
  <si>
    <t>запас</t>
  </si>
  <si>
    <t>кредиторка</t>
  </si>
  <si>
    <t xml:space="preserve">звукорежиссер 2 x 20 000 = 40 000 </t>
  </si>
  <si>
    <t>режиссер клипов 50 000</t>
  </si>
  <si>
    <t>инструктор по единоборствам – 20 000</t>
  </si>
  <si>
    <t>менеджер по рекламе</t>
  </si>
  <si>
    <t>фотограф</t>
  </si>
  <si>
    <t>Питание персонала и участников проекта</t>
  </si>
  <si>
    <t>Питание персонала и участников шоу</t>
  </si>
  <si>
    <t>Коммунальные платежи</t>
  </si>
  <si>
    <t>преподаватель по танцам</t>
  </si>
  <si>
    <t>преподаватель по вокалу</t>
  </si>
  <si>
    <t>преподаватель по актерскому мастерству</t>
  </si>
  <si>
    <t>Полная накопленная величина инвестиций</t>
  </si>
  <si>
    <t>Платежи, отнесенные на инвестиции</t>
  </si>
  <si>
    <t>Выбор валют и их обозначение:</t>
  </si>
  <si>
    <t>Профессиональная версия</t>
  </si>
  <si>
    <t>Осторожно! Изменение этого параметра вручную приведет к конфликту</t>
  </si>
  <si>
    <t>между структурой файла и программным кодом</t>
  </si>
  <si>
    <t>График производства вычисляется программой на основе прогноза продаж, запасов и других параметров.</t>
  </si>
  <si>
    <t xml:space="preserve">    дивидендов + ликвидационная стоимость</t>
  </si>
  <si>
    <t xml:space="preserve">    дивидендов + продленная стоимость</t>
  </si>
  <si>
    <t>Баланс производства и продаж (ед.)</t>
  </si>
  <si>
    <t>Доходы и расходы, по продуктам ($)</t>
  </si>
  <si>
    <t>Кэш-фло от инвестиционной деятельности</t>
  </si>
  <si>
    <t>Net Cash from Investment Activities</t>
  </si>
  <si>
    <t>Proceeds from Issue of Share Capital</t>
  </si>
  <si>
    <t>Поступления заемных средств</t>
  </si>
  <si>
    <t>Proceeds from Debt</t>
  </si>
  <si>
    <t>Возврат займов</t>
  </si>
  <si>
    <t>Repayment of Debt</t>
  </si>
  <si>
    <t xml:space="preserve">    Marketing Expenses</t>
  </si>
  <si>
    <t xml:space="preserve">    Other Expenses</t>
  </si>
  <si>
    <t xml:space="preserve">    Buildings</t>
  </si>
  <si>
    <t xml:space="preserve">    Equipment</t>
  </si>
  <si>
    <t xml:space="preserve">    Cars</t>
  </si>
  <si>
    <t xml:space="preserve">    Office Equipment</t>
  </si>
  <si>
    <t xml:space="preserve">    Other Assets</t>
  </si>
  <si>
    <t>Lease Payments</t>
  </si>
  <si>
    <t>Dividends Paid</t>
  </si>
  <si>
    <t xml:space="preserve"> </t>
  </si>
  <si>
    <t>FINANCIAL RATIOS</t>
  </si>
  <si>
    <t>Liquidity Ratios</t>
  </si>
  <si>
    <t>Cash Ratio</t>
  </si>
  <si>
    <t>Quick Ratio</t>
  </si>
  <si>
    <t>Current Ratio</t>
  </si>
  <si>
    <t>Net Working Capital</t>
  </si>
  <si>
    <t>Net Cash Flow (NCF)</t>
  </si>
  <si>
    <t>Discounted NCF</t>
  </si>
  <si>
    <t>Pay-Back Chart (cumulated DNCF)</t>
  </si>
  <si>
    <t>Съемка рекламных роликов</t>
  </si>
  <si>
    <t>Партизанский маркетинг</t>
  </si>
  <si>
    <t xml:space="preserve">концертный директор </t>
  </si>
  <si>
    <t xml:space="preserve">сценарист клипа </t>
  </si>
  <si>
    <t>Подробности рассчитанного графика производства и поставок…</t>
  </si>
  <si>
    <t>Акционеры</t>
  </si>
  <si>
    <t>Дисконтированные потоки</t>
  </si>
  <si>
    <t>Накопленные дисконтированные потоки</t>
  </si>
  <si>
    <t>Потоки с начальной инвестицией</t>
  </si>
  <si>
    <t>BUSINESS VALUE</t>
  </si>
  <si>
    <t>Value calculated for WACC=</t>
  </si>
  <si>
    <t>Разработка сайта</t>
  </si>
  <si>
    <t>Разработка фирменного стиля</t>
  </si>
  <si>
    <t>Поддержка сайта</t>
  </si>
  <si>
    <t>Проектирование помещений</t>
  </si>
  <si>
    <t>Ремонт помещений</t>
  </si>
  <si>
    <t>ю</t>
  </si>
  <si>
    <t>Реалити шоу "Клетка"</t>
  </si>
  <si>
    <t>Имиджевая реклама на канале INDARAP</t>
  </si>
  <si>
    <t>…</t>
  </si>
  <si>
    <t>Продакт плэйсмент в шоу "Клетка"</t>
  </si>
  <si>
    <t>Платная регистрация на канале INDARAP "Клетка"</t>
  </si>
  <si>
    <t>СМС голосование за участников проекта "Клетка"</t>
  </si>
  <si>
    <t>Спецпроекты рекламодателей (концерты, шоу…)</t>
  </si>
  <si>
    <t>НАЛОГИ И ДРУГИЕ ОБЩИЕ НАСТРОЙКИ</t>
  </si>
  <si>
    <t>&lt;наименование&gt;</t>
  </si>
  <si>
    <t>Общие издержки: производство</t>
  </si>
  <si>
    <t>Общие издержки: административные</t>
  </si>
  <si>
    <t>Общие издержки: маркетинг</t>
  </si>
  <si>
    <t>Итого:</t>
  </si>
  <si>
    <t>o</t>
  </si>
  <si>
    <t>Общие издержки из прибыли</t>
  </si>
  <si>
    <t>производство</t>
  </si>
  <si>
    <t>административные</t>
  </si>
  <si>
    <t>маркетинг</t>
  </si>
  <si>
    <t>Издержки без НДС</t>
  </si>
  <si>
    <t>Сумма НДС</t>
  </si>
  <si>
    <t>Персонал: производство</t>
  </si>
  <si>
    <t>Сумма платежей</t>
  </si>
  <si>
    <t>Эффективность участия в проекте</t>
  </si>
  <si>
    <t>NPV</t>
  </si>
  <si>
    <t>IRR</t>
  </si>
  <si>
    <t>БЮДЖЕТНАЯ ЭФФЕКТИВНОСТЬ ПРОЕКТА</t>
  </si>
  <si>
    <t>Доходы бюджета</t>
  </si>
  <si>
    <t>Суммарные налоговые поступления</t>
  </si>
  <si>
    <t>Дисконтированные налоговые поступления</t>
  </si>
  <si>
    <t xml:space="preserve">    соц. начисления</t>
  </si>
  <si>
    <t>Общие издержки:</t>
  </si>
  <si>
    <t>Operating Expenses:</t>
  </si>
  <si>
    <t xml:space="preserve">    производственные издержки</t>
  </si>
  <si>
    <t xml:space="preserve">    административные и офисные издержки</t>
  </si>
  <si>
    <t xml:space="preserve">    маркетинговые издержки</t>
  </si>
  <si>
    <t xml:space="preserve">    прочие расходы</t>
  </si>
  <si>
    <t>Увеличение постоянных издержек</t>
  </si>
  <si>
    <t>Увеличение капитальных затрат</t>
  </si>
  <si>
    <t>Увеличение процентной ставки</t>
  </si>
  <si>
    <t>Минимальные остатки на счете</t>
  </si>
  <si>
    <t>Минимальные остатки на счете показывают запас финансовых ресурсов, которым вы располагаете.</t>
  </si>
  <si>
    <t>Отрицательный остаток означает недостаточность финансирования, в некоторые моменты</t>
  </si>
  <si>
    <t>проекта вы не сможете осуществлять необходимые платежи.</t>
  </si>
  <si>
    <t>Номер периода</t>
  </si>
  <si>
    <t>Начало периодов</t>
  </si>
  <si>
    <t>Названия периодов</t>
  </si>
  <si>
    <t>Продукты: Продажи без НДС</t>
  </si>
  <si>
    <t>Выручка от продаж (по ОПУ) без НДС</t>
  </si>
  <si>
    <t>Уплаченный НДС в активе</t>
  </si>
  <si>
    <t>Платежи НДС в бюджет</t>
  </si>
  <si>
    <t>Способ учета переплаченного НДС</t>
  </si>
  <si>
    <t>бухгалтерия на аутсорсе</t>
  </si>
  <si>
    <t>тех. Поддержка сервера – 10 000</t>
  </si>
  <si>
    <t xml:space="preserve">поэт (текст) 1 x 20 000 </t>
  </si>
  <si>
    <t>вокалист (сессия) 2 x 10 000 = 20 000</t>
  </si>
  <si>
    <t>аранжировщик 1 x 20 000</t>
  </si>
  <si>
    <t>Число кредитов</t>
  </si>
  <si>
    <t>Число акционеров</t>
  </si>
  <si>
    <t>Число лизинговых займов</t>
  </si>
  <si>
    <t>Активы: здания</t>
  </si>
  <si>
    <t>Активы: оборудование</t>
  </si>
  <si>
    <t>Активы: транспорт</t>
  </si>
  <si>
    <t>Активы: оргтехника</t>
  </si>
  <si>
    <t>Активы: прочие</t>
  </si>
  <si>
    <t>Аморт</t>
  </si>
  <si>
    <t>Зач. НДС</t>
  </si>
  <si>
    <t>На баланс</t>
  </si>
  <si>
    <t>Затраты за вычетом отделяемого НДС</t>
  </si>
  <si>
    <t>Отделяемый НДС</t>
  </si>
  <si>
    <t>Полная стоимость активов на балансе</t>
  </si>
  <si>
    <t>Остаточная стоимость активов на балансе</t>
  </si>
  <si>
    <t>персонал / производство</t>
  </si>
  <si>
    <t>персонал / управление</t>
  </si>
  <si>
    <t>персонал / маркетинг</t>
  </si>
  <si>
    <t>Выплата дивидендов</t>
  </si>
  <si>
    <t>Дисконтирование за период</t>
  </si>
  <si>
    <t>Оценка доходным методом на основе:</t>
  </si>
  <si>
    <t xml:space="preserve">    чистого денежного потока (NCF)</t>
  </si>
  <si>
    <t xml:space="preserve">    чистой прибыли</t>
  </si>
  <si>
    <t xml:space="preserve">    прибыли до процентов и налогов (EBIT)</t>
  </si>
  <si>
    <t xml:space="preserve">    -- // -- и амортизации (EBITDA)</t>
  </si>
  <si>
    <t xml:space="preserve">    дивидендов</t>
  </si>
  <si>
    <t>Net Cash from Operating Activities</t>
  </si>
  <si>
    <t>Purchase of Property and Equipment</t>
  </si>
  <si>
    <t>Construction Expenses Paid</t>
  </si>
  <si>
    <t>Other Start-Up Expenses Paid</t>
  </si>
  <si>
    <t>Годовая процентная ставка</t>
  </si>
  <si>
    <t>Начисленные проценты</t>
  </si>
  <si>
    <t>Суммарные лизинговые платежи</t>
  </si>
  <si>
    <t>Итого: Лизинговые платежи</t>
  </si>
  <si>
    <t>Налоги</t>
  </si>
  <si>
    <t>Налог на прибыль</t>
  </si>
  <si>
    <t>Налог на добавленную стоимость</t>
  </si>
  <si>
    <t>Налог на имущество</t>
  </si>
  <si>
    <t>Налоги с оборота</t>
  </si>
  <si>
    <t>Социальные отчисления с зарплаты</t>
  </si>
  <si>
    <t>Расходы по процентам</t>
  </si>
  <si>
    <t>Interest Paid</t>
  </si>
  <si>
    <t>Кэш-фло от финансовой деятельности</t>
  </si>
  <si>
    <t>Net Cash from Financing Activities</t>
  </si>
  <si>
    <t>СУММАРНЫЙ ДЕНЕЖНЫЙ ПОТОК</t>
  </si>
  <si>
    <t>NET CASH FLOW</t>
  </si>
  <si>
    <t>Денежные средства на начало периода</t>
  </si>
  <si>
    <t>Cash at Beginning of Period</t>
  </si>
  <si>
    <t>Денежные средства на конец периода</t>
  </si>
  <si>
    <t>Cash at End of Period</t>
  </si>
  <si>
    <t>ОЦЕНКА СТОИМОСТИ БИЗНЕСА</t>
  </si>
  <si>
    <t>Оценка выполнена для WACC =</t>
  </si>
  <si>
    <t>ФИНАНСОВЫЕ ПОКАЗАТЕЛИ</t>
  </si>
  <si>
    <t>Коэффициенты ликвидности</t>
  </si>
  <si>
    <t>Коэффициент абсолютной ликвидности</t>
  </si>
  <si>
    <t xml:space="preserve">Net Present Value: NPV = </t>
  </si>
  <si>
    <t xml:space="preserve">Internal Rate of Return: IRR = </t>
  </si>
  <si>
    <t>Pay-Back Period: PBP =</t>
  </si>
  <si>
    <t>Net Working Capital Turnover</t>
  </si>
  <si>
    <t>Fixed Assets Turnover</t>
  </si>
  <si>
    <t>Total Assets Turnover</t>
  </si>
  <si>
    <t>Налог на имущество (в год)</t>
  </si>
  <si>
    <t>Демо-версия</t>
  </si>
  <si>
    <t>№1</t>
  </si>
  <si>
    <t>№2</t>
  </si>
  <si>
    <t>№3</t>
  </si>
  <si>
    <t>№4</t>
  </si>
  <si>
    <t>№5</t>
  </si>
  <si>
    <t>Программное обеспечение</t>
  </si>
  <si>
    <t>Разработка и печать РИМ</t>
  </si>
  <si>
    <t>Profitability Ratios</t>
  </si>
  <si>
    <t>Times Interest Earned</t>
  </si>
  <si>
    <t>Turnover Analysis</t>
  </si>
  <si>
    <t>Gearing Ratios</t>
  </si>
  <si>
    <t>Solvency ratio</t>
  </si>
  <si>
    <t>Total Debt to Total Assets</t>
  </si>
  <si>
    <t>Long Term Debt to Total Assets</t>
  </si>
  <si>
    <t>Total Debt to Equity</t>
  </si>
  <si>
    <t>Long Term Debt to Fixed Assets</t>
  </si>
  <si>
    <t>Валюта проекта:</t>
  </si>
  <si>
    <t>Рубли</t>
  </si>
  <si>
    <t>Доллары</t>
  </si>
  <si>
    <t>Евро</t>
  </si>
  <si>
    <t>Гривны</t>
  </si>
  <si>
    <t>гр.</t>
  </si>
  <si>
    <t>EUR</t>
  </si>
  <si>
    <t>Опции</t>
  </si>
  <si>
    <t>Административные издержки</t>
  </si>
  <si>
    <t>Оборачиваемость дебит. задолженности (дн.)</t>
  </si>
  <si>
    <t>Чистый денежный поток (ЧДП)</t>
  </si>
  <si>
    <t>Диконтированный ЧДП</t>
  </si>
  <si>
    <t>График окупаемости (аккумулированный ДЧДП)</t>
  </si>
  <si>
    <t>Чистая приведенная стоимость: NPV =</t>
  </si>
  <si>
    <t>Внутренняя норма доходности: IRR =</t>
  </si>
  <si>
    <t>Период окупаемости: PBP =</t>
  </si>
  <si>
    <t>мес.</t>
  </si>
  <si>
    <t>ДОХОДЫ УЧАСТНИКОВ</t>
  </si>
  <si>
    <t>Распределение дивидендов</t>
  </si>
  <si>
    <t>Tax on Property</t>
  </si>
  <si>
    <t>Зарплата</t>
  </si>
  <si>
    <t>Salary</t>
  </si>
  <si>
    <t xml:space="preserve">    производственный персонал</t>
  </si>
  <si>
    <t xml:space="preserve">    административный персонал</t>
  </si>
  <si>
    <t xml:space="preserve">    маркетинговый персонал</t>
  </si>
  <si>
    <t>ПАРАМЕТРЫ ПРОЕКТА</t>
  </si>
  <si>
    <t>Название проекта:</t>
  </si>
  <si>
    <t>Дата начала проекта</t>
  </si>
  <si>
    <t>Длительность</t>
  </si>
  <si>
    <t>Шаг расчета</t>
  </si>
  <si>
    <t>-------------------------------------------------------------------------------------------------</t>
  </si>
  <si>
    <t>Число продуктов в проекте</t>
  </si>
  <si>
    <t>Ед. изм.</t>
  </si>
  <si>
    <t>шт.</t>
  </si>
  <si>
    <t>Ставка дисконтирования</t>
  </si>
  <si>
    <t>ОПЕРАЦИОННАЯ ПРИБЫЛЬ</t>
  </si>
  <si>
    <t>OPERATING PROFIT (EBIT)</t>
  </si>
  <si>
    <t>Амортизация</t>
  </si>
  <si>
    <t>Depretiation</t>
  </si>
  <si>
    <t xml:space="preserve">    здания  и сооружения</t>
  </si>
  <si>
    <t>Проценты по кредитам</t>
  </si>
  <si>
    <t>Interest Expenses</t>
  </si>
  <si>
    <t>Лизинговые платежи</t>
  </si>
  <si>
    <t>ПРИБЫЛЬ ДО НАЛОГООБЛОЖЕНИЯ</t>
  </si>
  <si>
    <t>PROFIT BEFORE TAX</t>
  </si>
  <si>
    <t>Tax on Profit</t>
  </si>
  <si>
    <t>ЧИСТАЯ ПРИБЫЛЬ</t>
  </si>
  <si>
    <t>NET PROFIT</t>
  </si>
  <si>
    <t>БАЛАНС</t>
  </si>
  <si>
    <t>BALANCE SHEET</t>
  </si>
  <si>
    <t>Cash</t>
  </si>
  <si>
    <t>Account Receivable</t>
  </si>
  <si>
    <t>Запасы</t>
  </si>
  <si>
    <t>Inventories</t>
  </si>
  <si>
    <t>Other Current Assets</t>
  </si>
  <si>
    <t>Суммарные оборотные активы</t>
  </si>
  <si>
    <t>Текущая длительность периода:</t>
  </si>
  <si>
    <t>Длительность периода (в месяцах):</t>
  </si>
  <si>
    <t>Число периодов</t>
  </si>
  <si>
    <t>Первый месяц</t>
  </si>
  <si>
    <t>Первый год - позиция в списке</t>
  </si>
  <si>
    <t>Первый год</t>
  </si>
  <si>
    <t>Сходимость баланса</t>
  </si>
  <si>
    <t>1-зачитываем потом, 2 - возврат сразу</t>
  </si>
  <si>
    <t>Закупка (по графику получения материалов) без учета НДС</t>
  </si>
  <si>
    <t>Списание на поставки без учета НДС</t>
  </si>
  <si>
    <t>НДС по кредиторке</t>
  </si>
  <si>
    <t>Период сбора кредиторской задолженности</t>
  </si>
  <si>
    <t>Максимальное число периодов:</t>
  </si>
  <si>
    <t>Данные для меню выбора языка:</t>
  </si>
  <si>
    <t>Русский</t>
  </si>
  <si>
    <t>Английский</t>
  </si>
  <si>
    <t>Текущее значение выбранного языка:</t>
  </si>
  <si>
    <t>Максимальная длительность проекта:</t>
  </si>
  <si>
    <t>Текущее максимальное отклонение:</t>
  </si>
  <si>
    <t>Число должностей и издержек:</t>
  </si>
  <si>
    <t>значение</t>
  </si>
  <si>
    <t>издержки / производство</t>
  </si>
  <si>
    <t>издержки / управление</t>
  </si>
  <si>
    <t>издержки / маркетинг</t>
  </si>
  <si>
    <t>Поступления от продаж</t>
  </si>
  <si>
    <t>Cash Receipts from Customers</t>
  </si>
  <si>
    <t>Затраты на материалы и комплектующие</t>
  </si>
  <si>
    <t>Cash Paid to Suppliers</t>
  </si>
  <si>
    <t>Постоянные издержки</t>
  </si>
  <si>
    <t>Operating Expenses Paid</t>
  </si>
  <si>
    <t>Зарплата и социальные взносы</t>
  </si>
  <si>
    <t>Salary and Social Insurance Tax</t>
  </si>
  <si>
    <t>Other Taxes Paid</t>
  </si>
  <si>
    <t>Кэш-фло от операционной деятельности</t>
  </si>
  <si>
    <t>Оборачиваемость запасов</t>
  </si>
  <si>
    <t>Оборачиваемость дебиторской задолженности</t>
  </si>
  <si>
    <t>Оборачиваемость кредиторской задолженности</t>
  </si>
  <si>
    <t>Производственные издержки</t>
  </si>
  <si>
    <t>Административные и офисные издержки</t>
  </si>
  <si>
    <t>Маркетинговые издержки</t>
  </si>
  <si>
    <t>Суммарные постоянные издержки</t>
  </si>
  <si>
    <t>ИТОГО</t>
  </si>
  <si>
    <t>ПЕРСОНАЛ</t>
  </si>
  <si>
    <t>Производственный персонал</t>
  </si>
  <si>
    <t>Кол-во</t>
  </si>
  <si>
    <t>Административный персонал</t>
  </si>
  <si>
    <t>Маркетинговый персонал</t>
  </si>
  <si>
    <t>Суммарные затраты на персонал</t>
  </si>
  <si>
    <t>ФИНАНСИРОВАНИЕ</t>
  </si>
  <si>
    <t>Годовые нормы амортизации</t>
  </si>
  <si>
    <t>%</t>
  </si>
  <si>
    <t xml:space="preserve">здания и сооружения </t>
  </si>
  <si>
    <t>оборудование</t>
  </si>
  <si>
    <t>транспортные средства</t>
  </si>
  <si>
    <t>оргтехника</t>
  </si>
  <si>
    <t>прочие ОС</t>
  </si>
  <si>
    <t>НАЧАЛЬНЫЙ БАЛАНС</t>
  </si>
  <si>
    <t>Внеоборотные активы</t>
  </si>
  <si>
    <t>руб.</t>
  </si>
  <si>
    <t>Основные средства</t>
  </si>
  <si>
    <t xml:space="preserve">    здания и сооружения </t>
  </si>
  <si>
    <t xml:space="preserve">    оборудование</t>
  </si>
  <si>
    <t xml:space="preserve">    транспортные средства</t>
  </si>
  <si>
    <t xml:space="preserve">    оргтехника</t>
  </si>
  <si>
    <t xml:space="preserve">    прочие ОС</t>
  </si>
  <si>
    <t xml:space="preserve">Прочие активы </t>
  </si>
  <si>
    <t>Оборотные Активы</t>
  </si>
  <si>
    <t>Запасы сырья и комплектующих</t>
  </si>
  <si>
    <t>Дебиторы</t>
  </si>
  <si>
    <t>Коэффициент срочной ликвидности</t>
  </si>
  <si>
    <t>Коэффициент текущей ликвидности</t>
  </si>
  <si>
    <t>Чистый оборотный капитал</t>
  </si>
  <si>
    <t>Показатели структуры капитала</t>
  </si>
  <si>
    <t>Коэффициент финансовой независимости</t>
  </si>
  <si>
    <t>Inventories Turnover</t>
  </si>
  <si>
    <t>Receivables Turnover</t>
  </si>
  <si>
    <t>Return On Sales</t>
  </si>
  <si>
    <t>Return On Equity</t>
  </si>
  <si>
    <t>Return On Current Assets</t>
  </si>
  <si>
    <t>Return On Fixed Assets</t>
  </si>
  <si>
    <t>Return On Investments</t>
  </si>
  <si>
    <t>Коэффициенты рентабельности</t>
  </si>
  <si>
    <t>Рентабельность продаж</t>
  </si>
  <si>
    <t>Рентабельность собственного капитала</t>
  </si>
  <si>
    <t>Рентабельность оборотных активов</t>
  </si>
  <si>
    <t>Рентабельность внеоборотных активов</t>
  </si>
  <si>
    <t>Рентабельность инвестиций</t>
  </si>
  <si>
    <t>Коэффициенты деловой активности</t>
  </si>
  <si>
    <t>Оборачиваемость рабочего капитала</t>
  </si>
  <si>
    <t>Оборачиваемость основных средств</t>
  </si>
  <si>
    <t>Оборачиваемость активов</t>
  </si>
  <si>
    <t>Доля прибыли, выплачиваемая как дивиденды</t>
  </si>
  <si>
    <t>Лизинговое финансирование</t>
  </si>
  <si>
    <t>Лизинг 1</t>
  </si>
  <si>
    <t>Поступления лизингового финансирования</t>
  </si>
  <si>
    <t>Выплаты основного долга</t>
  </si>
  <si>
    <t>Размер задолженности</t>
  </si>
  <si>
    <r>
      <t xml:space="preserve">продюсер  - 4  - </t>
    </r>
    <r>
      <rPr>
        <sz val="12"/>
        <rFont val="Times New Roman"/>
        <family val="0"/>
      </rPr>
      <t>бесплатно</t>
    </r>
  </si>
  <si>
    <t>Уставной капитал</t>
  </si>
  <si>
    <t>Резервы и фонды</t>
  </si>
  <si>
    <t>Прибыль отчетного периода</t>
  </si>
  <si>
    <t>Нераспределенная прибыль</t>
  </si>
  <si>
    <t>СУММАРНЫЕ ОБЯЗАТЕЛЬСТВА И КАПИТАЛ</t>
  </si>
  <si>
    <t>Прогноз выплаты задолженностей</t>
  </si>
  <si>
    <t>Дебиторская задолженность</t>
  </si>
  <si>
    <t>ПРОИЗВОДСТВО ПО ПРОДУКТАМ (ЕД.)</t>
  </si>
  <si>
    <t>Производство</t>
  </si>
  <si>
    <t>Затраты на материалы (с учетом НДС)</t>
  </si>
  <si>
    <t>Затраты на сдельную зарплату</t>
  </si>
  <si>
    <t>Продажи (с учетом НДС)</t>
  </si>
  <si>
    <t>Списание материалов (с учетом НДС)</t>
  </si>
  <si>
    <t>Списание сдельной зарплаты</t>
  </si>
  <si>
    <t>СУММАРНЫЕ ПОКАЗАТЕЛИ</t>
  </si>
  <si>
    <t>Доходы</t>
  </si>
  <si>
    <t>Прям. Изд</t>
  </si>
  <si>
    <t>Сделано</t>
  </si>
  <si>
    <t>Продано</t>
  </si>
  <si>
    <t>ОТЧЕТ О ПРИБЫЛЯХ И УБЫТКАХ</t>
  </si>
  <si>
    <t>INCOME STATEMENT</t>
  </si>
  <si>
    <t>Язык финансовых отчетов:</t>
  </si>
  <si>
    <t>КАПИТАЛЬНЫЕ ВЛОЖЕНИЯ</t>
  </si>
  <si>
    <t>Приобретение основных средств</t>
  </si>
  <si>
    <t>$</t>
  </si>
  <si>
    <t>Здания и сооружения</t>
  </si>
  <si>
    <t>Оборудование</t>
  </si>
  <si>
    <t>Транспортные средства</t>
  </si>
  <si>
    <t>Оргтехника</t>
  </si>
  <si>
    <t>Прочие основные средства</t>
  </si>
  <si>
    <t>Всего приобретение ОС</t>
  </si>
  <si>
    <t>Строительство</t>
  </si>
  <si>
    <t>Прочие расходы</t>
  </si>
  <si>
    <t>Незавершенное строительство</t>
  </si>
  <si>
    <t>Прочие капиталовложения</t>
  </si>
  <si>
    <t>ПРОДАЖИ И ПРЯМЫЕ ИЗДЕРЖКИ</t>
  </si>
  <si>
    <t>Объем продаж (в единицах продукции)</t>
  </si>
  <si>
    <t>ед.</t>
  </si>
  <si>
    <t>Total current assets</t>
  </si>
  <si>
    <t>Net Fixed Assets:</t>
  </si>
  <si>
    <t xml:space="preserve">   здания и сооружения </t>
  </si>
  <si>
    <t xml:space="preserve">   оборудование</t>
  </si>
  <si>
    <t xml:space="preserve">   транспортные средства</t>
  </si>
  <si>
    <t xml:space="preserve">   оргтехника</t>
  </si>
  <si>
    <t xml:space="preserve">   прочие ОС</t>
  </si>
  <si>
    <t>Investments in Progress</t>
  </si>
  <si>
    <t>Other Assets</t>
  </si>
  <si>
    <t>Расчет срока окупаемости</t>
  </si>
  <si>
    <t>Срок окупаемости</t>
  </si>
  <si>
    <t>Разбор значений сдвигов:</t>
  </si>
  <si>
    <t>целая</t>
  </si>
  <si>
    <t>дробная</t>
  </si>
  <si>
    <t>Период сбора дебиторской задолженности</t>
  </si>
  <si>
    <t>Выручка (без НДС)</t>
  </si>
  <si>
    <t>Net Sales</t>
  </si>
  <si>
    <t>Себестоимость продукции</t>
  </si>
  <si>
    <t>Cost of Sales</t>
  </si>
  <si>
    <t xml:space="preserve">    материалы, комплектующие, товары</t>
  </si>
  <si>
    <t xml:space="preserve">    Raw Materials and Components</t>
  </si>
  <si>
    <t xml:space="preserve">    сдельная оплата труда</t>
  </si>
  <si>
    <t xml:space="preserve">    Direct Labor Costs</t>
  </si>
  <si>
    <t>Налоги с продаж</t>
  </si>
  <si>
    <t>Taxes on Sales</t>
  </si>
  <si>
    <t>ВАЛОВАЯ ПРИБЫЛЬ</t>
  </si>
  <si>
    <t>GROSS PROFIT</t>
  </si>
  <si>
    <t xml:space="preserve">Реклама </t>
  </si>
  <si>
    <t>Покупка сервера для сайта и апгрейд</t>
  </si>
  <si>
    <t>Цена продажи (за единицу продукции)</t>
  </si>
  <si>
    <t>Стоимость материалов (за ед. продукции)</t>
  </si>
  <si>
    <t>Сдельная зарплата (за ед. продукции)</t>
  </si>
  <si>
    <t>ОБЩИЕ ИЗДЕРЖКИ</t>
  </si>
  <si>
    <t>Параметры производства и продаж</t>
  </si>
  <si>
    <t>в днях</t>
  </si>
  <si>
    <t>Суммарные внеоборотные активы</t>
  </si>
  <si>
    <t>Total fixed assets</t>
  </si>
  <si>
    <t>ИТОГО АКТИВОВ</t>
  </si>
  <si>
    <t>TOTAL ASSETS</t>
  </si>
  <si>
    <t>Accounts Payable</t>
  </si>
  <si>
    <t>Текущая часть кредитов</t>
  </si>
  <si>
    <t>Short Term Share of Loans</t>
  </si>
  <si>
    <t>Суммарные краткосрочные обязательства</t>
  </si>
  <si>
    <t>Total Current Liabilities</t>
  </si>
  <si>
    <t>Долгосрочные обязательства</t>
  </si>
  <si>
    <t>Long Term Debt</t>
  </si>
  <si>
    <t>Ordinary Shares Issued</t>
  </si>
  <si>
    <t>Reserves</t>
  </si>
  <si>
    <t>Нераспределенная прибыль (убыток)</t>
  </si>
  <si>
    <t>Retained Earnings</t>
  </si>
  <si>
    <t>Суммарный капитал</t>
  </si>
  <si>
    <t>Total Shareholders Equity</t>
  </si>
  <si>
    <t>ИТОГО ОБЯЗАТЕЛЬСТВА И КАПИТАЛ</t>
  </si>
  <si>
    <t>TOTAL LIABILITIES &amp; EQUITY</t>
  </si>
  <si>
    <t>ДВИЖЕНИЕ ДЕНЕЖНЫХ СРЕДСТВ</t>
  </si>
  <si>
    <t>CASH FLOW STATEMENT</t>
  </si>
  <si>
    <t>Текущая потребность в капитале:</t>
  </si>
  <si>
    <t>Кредиты и займы</t>
  </si>
  <si>
    <t>Кредит 1</t>
  </si>
  <si>
    <t>Непогашенная сумма кредита</t>
  </si>
  <si>
    <t xml:space="preserve">Поступление </t>
  </si>
  <si>
    <t>Выплата основного долга</t>
  </si>
  <si>
    <t xml:space="preserve">Годовая процентная ставка </t>
  </si>
  <si>
    <t>Сумма по процентам</t>
  </si>
  <si>
    <t>Итого Сумма по процентам</t>
  </si>
  <si>
    <t>Итого Поступления кредитов</t>
  </si>
  <si>
    <t>Итого Выплата основного долга</t>
  </si>
  <si>
    <t>Итого Непогашенная сумма по кредитам</t>
  </si>
  <si>
    <t>Акционерный капитал</t>
  </si>
  <si>
    <t>Доля</t>
  </si>
  <si>
    <t>Акционер 1</t>
  </si>
  <si>
    <t>Денежные средства</t>
  </si>
  <si>
    <t>Прочие оборотные активы</t>
  </si>
  <si>
    <t>Убытки отчетного года</t>
  </si>
  <si>
    <t>Убытки прошлых лет</t>
  </si>
  <si>
    <t>СУММАРНЫЕ АКТИВЫ</t>
  </si>
  <si>
    <t>Краткосрочные обязательства</t>
  </si>
  <si>
    <t>Кредиторская задолженность</t>
  </si>
  <si>
    <t>Капитал</t>
  </si>
  <si>
    <t>Сумм. обязательства к сумм. активам</t>
  </si>
  <si>
    <t>Долгосрочные обязательства к активам</t>
  </si>
  <si>
    <t xml:space="preserve">Сумм. обязательства к собств. капиталу </t>
  </si>
  <si>
    <t>Долгоср. обязательства к внеобор. активам</t>
  </si>
  <si>
    <t>Коэффициент покрытия процентов</t>
  </si>
</sst>
</file>

<file path=xl/styles.xml><?xml version="1.0" encoding="utf-8"?>
<styleSheet xmlns="http://schemas.openxmlformats.org/spreadsheetml/2006/main">
  <numFmts count="37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_-* #,##0&quot;руб.&quot;_-;\-* #,##0&quot;руб.&quot;_-;_-* &quot;-&quot;&quot;руб.&quot;_-;_-@_-"/>
    <numFmt numFmtId="165" formatCode="_-* #,##0_р_у_б_._-;\-* #,##0_р_у_б_._-;_-* &quot;-&quot;_р_у_б_._-;_-@_-"/>
    <numFmt numFmtId="166" formatCode="_-* #,##0.00&quot;руб.&quot;_-;\-* #,##0.00&quot;руб.&quot;_-;_-* &quot;-&quot;??&quot;руб.&quot;_-;_-@_-"/>
    <numFmt numFmtId="167" formatCode="_-* #,##0.00_р_у_б_._-;\-* #,##0.00_р_у_б_._-;_-* &quot;-&quot;??_р_у_б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(* #,##0.00_);_(* \(#,##0.00\);_(* &quot;-&quot;??_);_(@_)"/>
    <numFmt numFmtId="177" formatCode="_-* #,##0&quot; р &quot;_-;\-* #,##0&quot; р &quot;_-;_-* &quot;-&quot;&quot; р &quot;_-;_-@_-"/>
    <numFmt numFmtId="178" formatCode="_-* #,##0.00&quot; р &quot;_-;\-* #,##0.00&quot; р &quot;_-;_-* &quot;-&quot;??&quot; р &quot;_-;_-@_-"/>
    <numFmt numFmtId="179" formatCode="_-* #,##0.00_ _р_ _-;\-* #,##0.00_ _р_ _-;_-* &quot;-&quot;??_ _р_ _-;_-@_-"/>
    <numFmt numFmtId="180" formatCode="0.0%"/>
    <numFmt numFmtId="181" formatCode="0.00000"/>
    <numFmt numFmtId="182" formatCode="#,##0_ ;[Red]\-#,##0\ "/>
    <numFmt numFmtId="183" formatCode="#,###;\-#,###;;@"/>
    <numFmt numFmtId="184" formatCode="#,###;[Red]\-#,###;;@"/>
    <numFmt numFmtId="185" formatCode="#.00;\н\е\т;\н\е\т"/>
    <numFmt numFmtId="186" formatCode="#,##0.0"/>
    <numFmt numFmtId="187" formatCode="0.0000"/>
    <numFmt numFmtId="188" formatCode="[$-FC19]d\ mmmm\ yyyy\ &quot;г.&quot;"/>
    <numFmt numFmtId="189" formatCode="0.0"/>
    <numFmt numFmtId="190" formatCode="#\ ###;\-#\ ###;;@"/>
    <numFmt numFmtId="191" formatCode="#,##0"/>
    <numFmt numFmtId="192" formatCode="0"/>
  </numFmts>
  <fonts count="53">
    <font>
      <sz val="10"/>
      <name val="Arial Cyr"/>
      <family val="0"/>
    </font>
    <font>
      <sz val="10"/>
      <name val="ЏрЯмой Џроп"/>
      <family val="0"/>
    </font>
    <font>
      <sz val="8"/>
      <color indexed="12"/>
      <name val="Arial Cyr"/>
      <family val="2"/>
    </font>
    <font>
      <sz val="11"/>
      <name val="Times New Roman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b/>
      <i/>
      <sz val="8"/>
      <name val="Arial Cyr"/>
      <family val="2"/>
    </font>
    <font>
      <b/>
      <sz val="10"/>
      <name val="Arial Cyr"/>
      <family val="2"/>
    </font>
    <font>
      <i/>
      <sz val="8"/>
      <color indexed="55"/>
      <name val="Arial Cyr"/>
      <family val="2"/>
    </font>
    <font>
      <sz val="8"/>
      <color indexed="55"/>
      <name val="Arial Cyr"/>
      <family val="2"/>
    </font>
    <font>
      <sz val="8"/>
      <name val="Tahoma"/>
      <family val="0"/>
    </font>
    <font>
      <sz val="10"/>
      <name val="Arial"/>
      <family val="2"/>
    </font>
    <font>
      <b/>
      <sz val="10"/>
      <color indexed="60"/>
      <name val="Arial Cyr"/>
      <family val="2"/>
    </font>
    <font>
      <sz val="8"/>
      <name val="Wingdings"/>
      <family val="0"/>
    </font>
    <font>
      <sz val="8"/>
      <color indexed="55"/>
      <name val="Arial"/>
      <family val="2"/>
    </font>
    <font>
      <sz val="7"/>
      <name val="Arial Cyr"/>
      <family val="0"/>
    </font>
    <font>
      <i/>
      <sz val="8"/>
      <color indexed="44"/>
      <name val="Arial Cyr"/>
      <family val="0"/>
    </font>
    <font>
      <sz val="11.75"/>
      <color indexed="8"/>
      <name val="Arial Cyr"/>
      <family val="0"/>
    </font>
    <font>
      <sz val="8"/>
      <color indexed="8"/>
      <name val="Arial Cyr"/>
      <family val="0"/>
    </font>
    <font>
      <sz val="11.25"/>
      <color indexed="8"/>
      <name val="Arial Cyr"/>
      <family val="0"/>
    </font>
    <font>
      <sz val="10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Lucida Grande CY"/>
      <family val="0"/>
    </font>
    <font>
      <sz val="12"/>
      <name val="Times New Roman"/>
      <family val="0"/>
    </font>
    <font>
      <sz val="12"/>
      <name val="Helv"/>
      <family val="0"/>
    </font>
    <font>
      <sz val="8.45"/>
      <color indexed="8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39" fillId="3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3" fillId="10" borderId="6" applyNumberFormat="0" applyAlignment="0" applyProtection="0"/>
    <xf numFmtId="0" fontId="32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" fillId="0" borderId="0">
      <alignment/>
      <protection/>
    </xf>
    <xf numFmtId="0" fontId="37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42" fillId="0" borderId="8" applyNumberFormat="0" applyFill="0" applyAlignment="0" applyProtection="0"/>
    <xf numFmtId="0" fontId="44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36" fillId="16" borderId="0" applyNumberFormat="0" applyBorder="0" applyAlignment="0" applyProtection="0"/>
  </cellStyleXfs>
  <cellXfs count="411">
    <xf numFmtId="0" fontId="0" fillId="0" borderId="0" xfId="0" applyAlignment="1">
      <alignment/>
    </xf>
    <xf numFmtId="0" fontId="4" fillId="0" borderId="0" xfId="64" applyFont="1" applyFill="1" applyBorder="1" applyAlignment="1" applyProtection="1">
      <alignment vertical="center"/>
      <protection hidden="1"/>
    </xf>
    <xf numFmtId="0" fontId="5" fillId="0" borderId="0" xfId="42" applyFont="1" applyFill="1" applyBorder="1" applyAlignment="1" applyProtection="1">
      <alignment horizontal="center" vertical="center"/>
      <protection hidden="1"/>
    </xf>
    <xf numFmtId="0" fontId="5" fillId="0" borderId="0" xfId="42" applyFont="1" applyFill="1" applyBorder="1" applyAlignment="1" applyProtection="1">
      <alignment vertical="center"/>
      <protection hidden="1"/>
    </xf>
    <xf numFmtId="0" fontId="5" fillId="0" borderId="0" xfId="42" applyFont="1" applyFill="1" applyAlignment="1" applyProtection="1">
      <alignment vertical="center"/>
      <protection hidden="1"/>
    </xf>
    <xf numFmtId="0" fontId="5" fillId="0" borderId="0" xfId="42" applyFont="1" applyBorder="1" applyAlignment="1" applyProtection="1">
      <alignment horizontal="center"/>
      <protection hidden="1"/>
    </xf>
    <xf numFmtId="0" fontId="5" fillId="0" borderId="0" xfId="42" applyFont="1" applyBorder="1" applyProtection="1">
      <alignment/>
      <protection hidden="1"/>
    </xf>
    <xf numFmtId="0" fontId="5" fillId="0" borderId="0" xfId="42" applyFont="1" applyProtection="1">
      <alignment/>
      <protection hidden="1"/>
    </xf>
    <xf numFmtId="3" fontId="6" fillId="0" borderId="0" xfId="42" applyNumberFormat="1" applyFont="1" applyFill="1" applyBorder="1" applyAlignment="1" applyProtection="1">
      <alignment horizontal="center"/>
      <protection hidden="1"/>
    </xf>
    <xf numFmtId="3" fontId="6" fillId="0" borderId="0" xfId="42" applyNumberFormat="1" applyFont="1" applyFill="1" applyBorder="1" applyAlignment="1" applyProtection="1">
      <alignment horizontal="center" vertical="center"/>
      <protection hidden="1"/>
    </xf>
    <xf numFmtId="0" fontId="5" fillId="0" borderId="0" xfId="42" applyFont="1" applyAlignment="1" applyProtection="1">
      <alignment vertical="center"/>
      <protection hidden="1"/>
    </xf>
    <xf numFmtId="9" fontId="5" fillId="17" borderId="9" xfId="42" applyNumberFormat="1" applyFont="1" applyFill="1" applyBorder="1" applyAlignment="1" applyProtection="1">
      <alignment horizontal="center" vertical="center"/>
      <protection locked="0"/>
    </xf>
    <xf numFmtId="0" fontId="7" fillId="0" borderId="0" xfId="64" applyFont="1" applyProtection="1">
      <alignment/>
      <protection hidden="1"/>
    </xf>
    <xf numFmtId="3" fontId="5" fillId="0" borderId="0" xfId="70" applyNumberFormat="1" applyFont="1" applyBorder="1" applyAlignment="1" applyProtection="1">
      <alignment/>
      <protection hidden="1"/>
    </xf>
    <xf numFmtId="0" fontId="5" fillId="0" borderId="0" xfId="64" applyFont="1" applyBorder="1" applyProtection="1">
      <alignment/>
      <protection hidden="1"/>
    </xf>
    <xf numFmtId="3" fontId="5" fillId="0" borderId="0" xfId="64" applyNumberFormat="1" applyFont="1" applyBorder="1" applyProtection="1">
      <alignment/>
      <protection hidden="1"/>
    </xf>
    <xf numFmtId="3" fontId="4" fillId="0" borderId="0" xfId="64" applyNumberFormat="1" applyFont="1" applyBorder="1" applyProtection="1">
      <alignment/>
      <protection hidden="1"/>
    </xf>
    <xf numFmtId="3" fontId="5" fillId="0" borderId="0" xfId="64" applyNumberFormat="1" applyFont="1" applyBorder="1" applyAlignment="1" applyProtection="1">
      <alignment horizontal="center"/>
      <protection hidden="1"/>
    </xf>
    <xf numFmtId="0" fontId="4" fillId="0" borderId="0" xfId="42" applyFont="1" applyProtection="1">
      <alignment/>
      <protection hidden="1"/>
    </xf>
    <xf numFmtId="3" fontId="5" fillId="0" borderId="0" xfId="42" applyNumberFormat="1" applyFont="1" applyBorder="1" applyAlignment="1" applyProtection="1">
      <alignment horizontal="center"/>
      <protection hidden="1"/>
    </xf>
    <xf numFmtId="3" fontId="5" fillId="0" borderId="0" xfId="42" applyNumberFormat="1" applyFont="1" applyBorder="1" applyProtection="1">
      <alignment/>
      <protection hidden="1"/>
    </xf>
    <xf numFmtId="4" fontId="5" fillId="0" borderId="0" xfId="42" applyNumberFormat="1" applyFont="1" applyBorder="1" applyProtection="1">
      <alignment/>
      <protection hidden="1"/>
    </xf>
    <xf numFmtId="4" fontId="8" fillId="0" borderId="0" xfId="42" applyNumberFormat="1" applyFont="1" applyBorder="1" applyProtection="1">
      <alignment/>
      <protection hidden="1"/>
    </xf>
    <xf numFmtId="3" fontId="8" fillId="0" borderId="0" xfId="64" applyNumberFormat="1" applyFont="1" applyBorder="1" applyProtection="1">
      <alignment/>
      <protection locked="0"/>
    </xf>
    <xf numFmtId="3" fontId="5" fillId="0" borderId="9" xfId="64" applyNumberFormat="1" applyFont="1" applyBorder="1" applyProtection="1">
      <alignment/>
      <protection locked="0"/>
    </xf>
    <xf numFmtId="3" fontId="10" fillId="0" borderId="0" xfId="64" applyNumberFormat="1" applyFont="1" applyBorder="1" applyProtection="1">
      <alignment/>
      <protection hidden="1"/>
    </xf>
    <xf numFmtId="0" fontId="5" fillId="0" borderId="0" xfId="64" applyFont="1" applyProtection="1">
      <alignment/>
      <protection hidden="1"/>
    </xf>
    <xf numFmtId="0" fontId="11" fillId="0" borderId="0" xfId="64" applyFont="1" applyProtection="1">
      <alignment/>
      <protection hidden="1"/>
    </xf>
    <xf numFmtId="0" fontId="11" fillId="0" borderId="0" xfId="42" applyFont="1" applyBorder="1" applyProtection="1">
      <alignment/>
      <protection hidden="1"/>
    </xf>
    <xf numFmtId="0" fontId="5" fillId="0" borderId="0" xfId="64" applyFont="1" applyFill="1" applyBorder="1" applyProtection="1">
      <alignment/>
      <protection hidden="1"/>
    </xf>
    <xf numFmtId="9" fontId="8" fillId="0" borderId="0" xfId="46" applyFont="1" applyBorder="1" applyAlignment="1" applyProtection="1">
      <alignment horizontal="center"/>
      <protection hidden="1"/>
    </xf>
    <xf numFmtId="0" fontId="5" fillId="0" borderId="9" xfId="42" applyFont="1" applyBorder="1" applyProtection="1">
      <alignment/>
      <protection hidden="1"/>
    </xf>
    <xf numFmtId="180" fontId="5" fillId="0" borderId="0" xfId="46" applyNumberFormat="1" applyFont="1" applyBorder="1" applyAlignment="1" applyProtection="1">
      <alignment horizontal="center"/>
      <protection hidden="1"/>
    </xf>
    <xf numFmtId="3" fontId="10" fillId="0" borderId="0" xfId="70" applyNumberFormat="1" applyFont="1" applyBorder="1" applyAlignment="1" applyProtection="1">
      <alignment horizontal="left"/>
      <protection hidden="1"/>
    </xf>
    <xf numFmtId="3" fontId="4" fillId="0" borderId="0" xfId="70" applyNumberFormat="1" applyFont="1" applyBorder="1" applyAlignment="1" applyProtection="1">
      <alignment/>
      <protection hidden="1"/>
    </xf>
    <xf numFmtId="0" fontId="10" fillId="0" borderId="0" xfId="42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/>
      <protection hidden="1"/>
    </xf>
    <xf numFmtId="0" fontId="7" fillId="0" borderId="9" xfId="45" applyFont="1" applyBorder="1" applyProtection="1">
      <alignment/>
      <protection hidden="1"/>
    </xf>
    <xf numFmtId="183" fontId="8" fillId="0" borderId="9" xfId="45" applyNumberFormat="1" applyFont="1" applyBorder="1" applyProtection="1">
      <alignment/>
      <protection hidden="1" locked="0"/>
    </xf>
    <xf numFmtId="0" fontId="5" fillId="0" borderId="0" xfId="45" applyFont="1" applyProtection="1">
      <alignment/>
      <protection hidden="1"/>
    </xf>
    <xf numFmtId="0" fontId="4" fillId="0" borderId="0" xfId="45" applyFont="1" applyBorder="1" applyProtection="1">
      <alignment/>
      <protection hidden="1"/>
    </xf>
    <xf numFmtId="183" fontId="12" fillId="0" borderId="0" xfId="0" applyNumberFormat="1" applyFont="1" applyFill="1" applyBorder="1" applyAlignment="1" applyProtection="1">
      <alignment/>
      <protection hidden="1"/>
    </xf>
    <xf numFmtId="0" fontId="7" fillId="0" borderId="0" xfId="45" applyFont="1" applyProtection="1">
      <alignment/>
      <protection hidden="1"/>
    </xf>
    <xf numFmtId="0" fontId="7" fillId="0" borderId="10" xfId="45" applyFont="1" applyBorder="1" applyProtection="1">
      <alignment/>
      <protection hidden="1"/>
    </xf>
    <xf numFmtId="183" fontId="5" fillId="0" borderId="10" xfId="45" applyNumberFormat="1" applyFont="1" applyBorder="1" applyProtection="1">
      <alignment/>
      <protection hidden="1"/>
    </xf>
    <xf numFmtId="183" fontId="12" fillId="0" borderId="9" xfId="0" applyNumberFormat="1" applyFont="1" applyFill="1" applyBorder="1" applyAlignment="1" applyProtection="1">
      <alignment/>
      <protection hidden="1"/>
    </xf>
    <xf numFmtId="0" fontId="7" fillId="0" borderId="0" xfId="45" applyFont="1" applyBorder="1" applyProtection="1">
      <alignment/>
      <protection hidden="1"/>
    </xf>
    <xf numFmtId="183" fontId="5" fillId="0" borderId="0" xfId="45" applyNumberFormat="1" applyFont="1" applyBorder="1" applyProtection="1">
      <alignment/>
      <protection hidden="1"/>
    </xf>
    <xf numFmtId="0" fontId="14" fillId="0" borderId="10" xfId="0" applyFont="1" applyBorder="1" applyAlignment="1" applyProtection="1">
      <alignment/>
      <protection hidden="1"/>
    </xf>
    <xf numFmtId="183" fontId="13" fillId="0" borderId="10" xfId="0" applyNumberFormat="1" applyFont="1" applyBorder="1" applyAlignment="1" applyProtection="1">
      <alignment/>
      <protection hidden="1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183" fontId="5" fillId="0" borderId="9" xfId="45" applyNumberFormat="1" applyFont="1" applyBorder="1" applyProtection="1">
      <alignment/>
      <protection hidden="1"/>
    </xf>
    <xf numFmtId="0" fontId="5" fillId="0" borderId="0" xfId="45" applyFont="1" applyBorder="1" applyProtection="1">
      <alignment/>
      <protection hidden="1"/>
    </xf>
    <xf numFmtId="0" fontId="14" fillId="0" borderId="9" xfId="0" applyFont="1" applyBorder="1" applyAlignment="1" applyProtection="1">
      <alignment/>
      <protection hidden="1"/>
    </xf>
    <xf numFmtId="183" fontId="13" fillId="0" borderId="9" xfId="0" applyNumberFormat="1" applyFont="1" applyBorder="1" applyAlignment="1" applyProtection="1">
      <alignment/>
      <protection hidden="1"/>
    </xf>
    <xf numFmtId="183" fontId="4" fillId="0" borderId="9" xfId="45" applyNumberFormat="1" applyFont="1" applyBorder="1" applyProtection="1">
      <alignment/>
      <protection hidden="1"/>
    </xf>
    <xf numFmtId="0" fontId="4" fillId="0" borderId="10" xfId="45" applyFont="1" applyFill="1" applyBorder="1" applyProtection="1">
      <alignment/>
      <protection hidden="1"/>
    </xf>
    <xf numFmtId="183" fontId="4" fillId="0" borderId="10" xfId="45" applyNumberFormat="1" applyFont="1" applyFill="1" applyBorder="1" applyProtection="1">
      <alignment/>
      <protection hidden="1"/>
    </xf>
    <xf numFmtId="0" fontId="5" fillId="0" borderId="0" xfId="45" applyFont="1" applyFill="1" applyProtection="1">
      <alignment/>
      <protection hidden="1"/>
    </xf>
    <xf numFmtId="0" fontId="4" fillId="0" borderId="9" xfId="45" applyFont="1" applyFill="1" applyBorder="1" applyProtection="1">
      <alignment/>
      <protection hidden="1"/>
    </xf>
    <xf numFmtId="183" fontId="4" fillId="0" borderId="9" xfId="45" applyNumberFormat="1" applyFont="1" applyFill="1" applyBorder="1" applyProtection="1">
      <alignment/>
      <protection hidden="1"/>
    </xf>
    <xf numFmtId="0" fontId="5" fillId="0" borderId="9" xfId="45" applyFont="1" applyBorder="1" applyProtection="1">
      <alignment/>
      <protection hidden="1"/>
    </xf>
    <xf numFmtId="0" fontId="5" fillId="0" borderId="9" xfId="64" applyFont="1" applyFill="1" applyBorder="1" applyProtection="1">
      <alignment/>
      <protection hidden="1"/>
    </xf>
    <xf numFmtId="0" fontId="5" fillId="0" borderId="9" xfId="45" applyFont="1" applyFill="1" applyBorder="1" applyProtection="1">
      <alignment/>
      <protection hidden="1"/>
    </xf>
    <xf numFmtId="183" fontId="5" fillId="0" borderId="9" xfId="45" applyNumberFormat="1" applyFont="1" applyFill="1" applyBorder="1" applyProtection="1">
      <alignment/>
      <protection hidden="1"/>
    </xf>
    <xf numFmtId="0" fontId="4" fillId="0" borderId="9" xfId="45" applyFont="1" applyBorder="1" applyProtection="1">
      <alignment/>
      <protection hidden="1"/>
    </xf>
    <xf numFmtId="0" fontId="4" fillId="0" borderId="0" xfId="45" applyFont="1" applyProtection="1">
      <alignment/>
      <protection hidden="1"/>
    </xf>
    <xf numFmtId="0" fontId="5" fillId="0" borderId="9" xfId="64" applyFont="1" applyBorder="1" applyProtection="1">
      <alignment/>
      <protection hidden="1"/>
    </xf>
    <xf numFmtId="0" fontId="4" fillId="18" borderId="11" xfId="45" applyFont="1" applyFill="1" applyBorder="1" applyProtection="1">
      <alignment/>
      <protection hidden="1"/>
    </xf>
    <xf numFmtId="183" fontId="4" fillId="18" borderId="11" xfId="45" applyNumberFormat="1" applyFont="1" applyFill="1" applyBorder="1" applyProtection="1">
      <alignment/>
      <protection hidden="1"/>
    </xf>
    <xf numFmtId="3" fontId="4" fillId="0" borderId="0" xfId="45" applyNumberFormat="1" applyFont="1" applyBorder="1" applyProtection="1">
      <alignment/>
      <protection hidden="1"/>
    </xf>
    <xf numFmtId="0" fontId="5" fillId="0" borderId="12" xfId="43" applyFont="1" applyBorder="1" applyProtection="1">
      <alignment/>
      <protection hidden="1"/>
    </xf>
    <xf numFmtId="183" fontId="5" fillId="0" borderId="10" xfId="35" applyNumberFormat="1" applyFont="1" applyBorder="1" applyAlignment="1" applyProtection="1">
      <alignment/>
      <protection hidden="1"/>
    </xf>
    <xf numFmtId="0" fontId="5" fillId="0" borderId="0" xfId="43" applyFont="1" applyProtection="1">
      <alignment/>
      <protection hidden="1"/>
    </xf>
    <xf numFmtId="0" fontId="5" fillId="0" borderId="13" xfId="43" applyFont="1" applyBorder="1" applyProtection="1">
      <alignment/>
      <protection hidden="1"/>
    </xf>
    <xf numFmtId="183" fontId="5" fillId="0" borderId="9" xfId="35" applyNumberFormat="1" applyFont="1" applyBorder="1" applyAlignment="1" applyProtection="1">
      <alignment/>
      <protection hidden="1"/>
    </xf>
    <xf numFmtId="0" fontId="5" fillId="0" borderId="13" xfId="64" applyFont="1" applyBorder="1" applyProtection="1">
      <alignment/>
      <protection hidden="1"/>
    </xf>
    <xf numFmtId="0" fontId="4" fillId="19" borderId="13" xfId="43" applyFont="1" applyFill="1" applyBorder="1" applyProtection="1">
      <alignment/>
      <protection hidden="1"/>
    </xf>
    <xf numFmtId="183" fontId="4" fillId="19" borderId="9" xfId="35" applyNumberFormat="1" applyFont="1" applyFill="1" applyBorder="1" applyAlignment="1" applyProtection="1">
      <alignment/>
      <protection hidden="1"/>
    </xf>
    <xf numFmtId="0" fontId="5" fillId="0" borderId="9" xfId="43" applyFont="1" applyBorder="1" applyProtection="1">
      <alignment/>
      <protection hidden="1"/>
    </xf>
    <xf numFmtId="183" fontId="5" fillId="0" borderId="9" xfId="43" applyNumberFormat="1" applyFont="1" applyBorder="1" applyProtection="1">
      <alignment/>
      <protection hidden="1"/>
    </xf>
    <xf numFmtId="0" fontId="4" fillId="19" borderId="14" xfId="43" applyFont="1" applyFill="1" applyBorder="1" applyProtection="1">
      <alignment/>
      <protection hidden="1"/>
    </xf>
    <xf numFmtId="183" fontId="4" fillId="19" borderId="11" xfId="35" applyNumberFormat="1" applyFont="1" applyFill="1" applyBorder="1" applyAlignment="1" applyProtection="1">
      <alignment/>
      <protection hidden="1"/>
    </xf>
    <xf numFmtId="0" fontId="11" fillId="0" borderId="0" xfId="43" applyFont="1" applyProtection="1">
      <alignment/>
      <protection hidden="1"/>
    </xf>
    <xf numFmtId="3" fontId="11" fillId="0" borderId="0" xfId="35" applyNumberFormat="1" applyFont="1" applyBorder="1" applyAlignment="1" applyProtection="1">
      <alignment/>
      <protection hidden="1"/>
    </xf>
    <xf numFmtId="3" fontId="11" fillId="0" borderId="0" xfId="35" applyNumberFormat="1" applyFont="1" applyAlignment="1" applyProtection="1">
      <alignment/>
      <protection hidden="1"/>
    </xf>
    <xf numFmtId="0" fontId="13" fillId="0" borderId="10" xfId="44" applyNumberFormat="1" applyFont="1" applyFill="1" applyBorder="1" applyAlignment="1" applyProtection="1">
      <alignment horizontal="left"/>
      <protection hidden="1"/>
    </xf>
    <xf numFmtId="183" fontId="17" fillId="0" borderId="10" xfId="44" applyNumberFormat="1" applyFont="1" applyFill="1" applyBorder="1" applyAlignment="1" applyProtection="1">
      <alignment horizontal="center"/>
      <protection hidden="1"/>
    </xf>
    <xf numFmtId="0" fontId="13" fillId="0" borderId="0" xfId="44" applyFont="1" applyProtection="1">
      <alignment/>
      <protection hidden="1"/>
    </xf>
    <xf numFmtId="183" fontId="13" fillId="0" borderId="10" xfId="44" applyNumberFormat="1" applyFont="1" applyFill="1" applyBorder="1" applyAlignment="1" applyProtection="1">
      <alignment/>
      <protection hidden="1"/>
    </xf>
    <xf numFmtId="0" fontId="13" fillId="0" borderId="9" xfId="44" applyFont="1" applyBorder="1" applyProtection="1">
      <alignment/>
      <protection hidden="1"/>
    </xf>
    <xf numFmtId="183" fontId="13" fillId="0" borderId="9" xfId="44" applyNumberFormat="1" applyFont="1" applyBorder="1" applyProtection="1">
      <alignment/>
      <protection hidden="1"/>
    </xf>
    <xf numFmtId="0" fontId="12" fillId="19" borderId="9" xfId="44" applyFont="1" applyFill="1" applyBorder="1" applyProtection="1">
      <alignment/>
      <protection hidden="1"/>
    </xf>
    <xf numFmtId="183" fontId="12" fillId="19" borderId="9" xfId="44" applyNumberFormat="1" applyFont="1" applyFill="1" applyBorder="1" applyProtection="1">
      <alignment/>
      <protection hidden="1"/>
    </xf>
    <xf numFmtId="0" fontId="13" fillId="0" borderId="11" xfId="44" applyFont="1" applyBorder="1" applyProtection="1">
      <alignment/>
      <protection hidden="1"/>
    </xf>
    <xf numFmtId="183" fontId="13" fillId="0" borderId="11" xfId="44" applyNumberFormat="1" applyFont="1" applyBorder="1" applyProtection="1">
      <alignment/>
      <protection hidden="1"/>
    </xf>
    <xf numFmtId="0" fontId="13" fillId="0" borderId="0" xfId="44" applyFont="1" applyBorder="1" applyProtection="1">
      <alignment/>
      <protection hidden="1"/>
    </xf>
    <xf numFmtId="3" fontId="13" fillId="0" borderId="0" xfId="44" applyNumberFormat="1" applyFont="1" applyBorder="1" applyProtection="1">
      <alignment/>
      <protection hidden="1"/>
    </xf>
    <xf numFmtId="3" fontId="13" fillId="0" borderId="0" xfId="44" applyNumberFormat="1" applyFo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/>
      <protection hidden="1"/>
    </xf>
    <xf numFmtId="2" fontId="13" fillId="0" borderId="9" xfId="0" applyNumberFormat="1" applyFont="1" applyBorder="1" applyAlignment="1" applyProtection="1">
      <alignment horizontal="right"/>
      <protection hidden="1"/>
    </xf>
    <xf numFmtId="3" fontId="13" fillId="0" borderId="9" xfId="0" applyNumberFormat="1" applyFont="1" applyBorder="1" applyAlignment="1" applyProtection="1">
      <alignment/>
      <protection hidden="1"/>
    </xf>
    <xf numFmtId="180" fontId="13" fillId="0" borderId="9" xfId="0" applyNumberFormat="1" applyFont="1" applyBorder="1" applyAlignment="1" applyProtection="1">
      <alignment horizontal="right"/>
      <protection hidden="1"/>
    </xf>
    <xf numFmtId="0" fontId="13" fillId="0" borderId="11" xfId="0" applyFont="1" applyBorder="1" applyAlignment="1" applyProtection="1">
      <alignment/>
      <protection hidden="1"/>
    </xf>
    <xf numFmtId="2" fontId="13" fillId="0" borderId="11" xfId="0" applyNumberFormat="1" applyFont="1" applyBorder="1" applyAlignment="1" applyProtection="1">
      <alignment horizontal="right"/>
      <protection hidden="1"/>
    </xf>
    <xf numFmtId="1" fontId="13" fillId="0" borderId="9" xfId="0" applyNumberFormat="1" applyFont="1" applyBorder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5" fillId="0" borderId="10" xfId="64" applyFont="1" applyFill="1" applyBorder="1" applyProtection="1">
      <alignment/>
      <protection hidden="1"/>
    </xf>
    <xf numFmtId="183" fontId="13" fillId="0" borderId="10" xfId="0" applyNumberFormat="1" applyFont="1" applyBorder="1" applyAlignment="1" applyProtection="1">
      <alignment/>
      <protection hidden="1"/>
    </xf>
    <xf numFmtId="183" fontId="13" fillId="0" borderId="9" xfId="0" applyNumberFormat="1" applyFont="1" applyBorder="1" applyAlignment="1" applyProtection="1">
      <alignment/>
      <protection hidden="1"/>
    </xf>
    <xf numFmtId="0" fontId="12" fillId="19" borderId="9" xfId="0" applyFont="1" applyFill="1" applyBorder="1" applyAlignment="1" applyProtection="1">
      <alignment/>
      <protection hidden="1"/>
    </xf>
    <xf numFmtId="183" fontId="13" fillId="19" borderId="9" xfId="0" applyNumberFormat="1" applyFont="1" applyFill="1" applyBorder="1" applyAlignment="1" applyProtection="1">
      <alignment/>
      <protection hidden="1"/>
    </xf>
    <xf numFmtId="183" fontId="13" fillId="0" borderId="11" xfId="0" applyNumberFormat="1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left"/>
      <protection hidden="1"/>
    </xf>
    <xf numFmtId="183" fontId="13" fillId="0" borderId="0" xfId="0" applyNumberFormat="1" applyFont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>
      <alignment vertical="center"/>
    </xf>
    <xf numFmtId="184" fontId="13" fillId="0" borderId="10" xfId="0" applyNumberFormat="1" applyFont="1" applyBorder="1" applyAlignment="1" applyProtection="1">
      <alignment horizontal="right"/>
      <protection hidden="1"/>
    </xf>
    <xf numFmtId="184" fontId="13" fillId="0" borderId="9" xfId="0" applyNumberFormat="1" applyFont="1" applyBorder="1" applyAlignment="1" applyProtection="1">
      <alignment horizontal="right"/>
      <protection hidden="1"/>
    </xf>
    <xf numFmtId="184" fontId="13" fillId="0" borderId="11" xfId="0" applyNumberFormat="1" applyFont="1" applyBorder="1" applyAlignment="1" applyProtection="1">
      <alignment horizontal="right"/>
      <protection hidden="1"/>
    </xf>
    <xf numFmtId="184" fontId="13" fillId="0" borderId="10" xfId="0" applyNumberFormat="1" applyFont="1" applyBorder="1" applyAlignment="1" applyProtection="1">
      <alignment/>
      <protection hidden="1"/>
    </xf>
    <xf numFmtId="184" fontId="13" fillId="0" borderId="9" xfId="0" applyNumberFormat="1" applyFont="1" applyBorder="1" applyAlignment="1" applyProtection="1">
      <alignment/>
      <protection hidden="1"/>
    </xf>
    <xf numFmtId="184" fontId="13" fillId="0" borderId="11" xfId="0" applyNumberFormat="1" applyFont="1" applyBorder="1" applyAlignment="1" applyProtection="1">
      <alignment/>
      <protection hidden="1"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2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14" fontId="13" fillId="0" borderId="16" xfId="0" applyNumberFormat="1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9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Border="1" applyAlignment="1" applyProtection="1">
      <alignment/>
      <protection hidden="1"/>
    </xf>
    <xf numFmtId="181" fontId="13" fillId="0" borderId="0" xfId="0" applyNumberFormat="1" applyFont="1" applyAlignment="1">
      <alignment/>
    </xf>
    <xf numFmtId="9" fontId="13" fillId="0" borderId="0" xfId="0" applyNumberFormat="1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0" fontId="13" fillId="0" borderId="21" xfId="0" applyFont="1" applyBorder="1" applyAlignment="1" applyProtection="1">
      <alignment/>
      <protection hidden="1"/>
    </xf>
    <xf numFmtId="0" fontId="13" fillId="0" borderId="22" xfId="0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/>
      <protection hidden="1"/>
    </xf>
    <xf numFmtId="0" fontId="13" fillId="0" borderId="17" xfId="0" applyFont="1" applyBorder="1" applyAlignment="1" applyProtection="1">
      <alignment/>
      <protection hidden="1"/>
    </xf>
    <xf numFmtId="3" fontId="13" fillId="0" borderId="18" xfId="0" applyNumberFormat="1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/>
      <protection hidden="1"/>
    </xf>
    <xf numFmtId="3" fontId="13" fillId="0" borderId="16" xfId="0" applyNumberFormat="1" applyFont="1" applyBorder="1" applyAlignment="1" applyProtection="1">
      <alignment horizontal="right"/>
      <protection hidden="1"/>
    </xf>
    <xf numFmtId="9" fontId="13" fillId="0" borderId="9" xfId="0" applyNumberFormat="1" applyFont="1" applyBorder="1" applyAlignment="1" applyProtection="1">
      <alignment/>
      <protection hidden="1"/>
    </xf>
    <xf numFmtId="183" fontId="12" fillId="0" borderId="0" xfId="0" applyNumberFormat="1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left"/>
      <protection hidden="1"/>
    </xf>
    <xf numFmtId="9" fontId="13" fillId="0" borderId="0" xfId="0" applyNumberFormat="1" applyFont="1" applyAlignment="1" applyProtection="1">
      <alignment horizontal="right"/>
      <protection hidden="1"/>
    </xf>
    <xf numFmtId="1" fontId="13" fillId="0" borderId="24" xfId="0" applyNumberFormat="1" applyFont="1" applyBorder="1" applyAlignment="1" applyProtection="1">
      <alignment horizontal="right"/>
      <protection hidden="1"/>
    </xf>
    <xf numFmtId="0" fontId="22" fillId="0" borderId="0" xfId="42" applyFont="1" applyFill="1" applyBorder="1" applyAlignment="1" applyProtection="1">
      <alignment horizontal="center" vertical="center"/>
      <protection hidden="1"/>
    </xf>
    <xf numFmtId="0" fontId="22" fillId="0" borderId="0" xfId="42" applyFont="1" applyFill="1" applyBorder="1" applyAlignment="1" applyProtection="1">
      <alignment vertical="center"/>
      <protection hidden="1"/>
    </xf>
    <xf numFmtId="0" fontId="22" fillId="0" borderId="0" xfId="42" applyFont="1" applyFill="1" applyAlignment="1" applyProtection="1">
      <alignment vertical="center"/>
      <protection hidden="1"/>
    </xf>
    <xf numFmtId="0" fontId="23" fillId="0" borderId="0" xfId="41" applyFont="1" applyFill="1" applyBorder="1" applyAlignment="1" applyProtection="1">
      <alignment vertical="center"/>
      <protection locked="0"/>
    </xf>
    <xf numFmtId="0" fontId="4" fillId="8" borderId="25" xfId="64" applyFont="1" applyFill="1" applyBorder="1" applyAlignment="1" applyProtection="1">
      <alignment vertical="center"/>
      <protection hidden="1"/>
    </xf>
    <xf numFmtId="0" fontId="5" fillId="8" borderId="26" xfId="42" applyFont="1" applyFill="1" applyBorder="1" applyAlignment="1" applyProtection="1">
      <alignment vertical="center"/>
      <protection hidden="1"/>
    </xf>
    <xf numFmtId="0" fontId="5" fillId="2" borderId="27" xfId="64" applyFont="1" applyFill="1" applyBorder="1" applyAlignment="1" applyProtection="1">
      <alignment/>
      <protection hidden="1"/>
    </xf>
    <xf numFmtId="0" fontId="5" fillId="2" borderId="28" xfId="42" applyFont="1" applyFill="1" applyBorder="1" applyAlignment="1" applyProtection="1">
      <alignment/>
      <protection hidden="1"/>
    </xf>
    <xf numFmtId="0" fontId="5" fillId="2" borderId="19" xfId="64" applyFont="1" applyFill="1" applyBorder="1" applyAlignment="1" applyProtection="1">
      <alignment/>
      <protection hidden="1"/>
    </xf>
    <xf numFmtId="0" fontId="5" fillId="2" borderId="29" xfId="42" applyFont="1" applyFill="1" applyBorder="1" applyAlignment="1" applyProtection="1">
      <alignment/>
      <protection hidden="1"/>
    </xf>
    <xf numFmtId="0" fontId="4" fillId="2" borderId="0" xfId="42" applyFont="1" applyFill="1" applyBorder="1" applyAlignment="1" applyProtection="1">
      <alignment horizontal="left"/>
      <protection hidden="1"/>
    </xf>
    <xf numFmtId="0" fontId="4" fillId="2" borderId="19" xfId="64" applyFont="1" applyFill="1" applyBorder="1" applyAlignment="1" applyProtection="1" quotePrefix="1">
      <alignment horizontal="left"/>
      <protection hidden="1"/>
    </xf>
    <xf numFmtId="0" fontId="5" fillId="2" borderId="0" xfId="42" applyFont="1" applyFill="1" applyBorder="1" applyAlignment="1" applyProtection="1">
      <alignment horizontal="center"/>
      <protection hidden="1"/>
    </xf>
    <xf numFmtId="3" fontId="6" fillId="2" borderId="29" xfId="42" applyNumberFormat="1" applyFont="1" applyFill="1" applyBorder="1" applyAlignment="1" applyProtection="1">
      <alignment horizontal="center"/>
      <protection hidden="1"/>
    </xf>
    <xf numFmtId="0" fontId="5" fillId="2" borderId="0" xfId="42" applyFont="1" applyFill="1" applyBorder="1" applyAlignment="1" applyProtection="1">
      <alignment horizontal="center" vertical="center"/>
      <protection hidden="1"/>
    </xf>
    <xf numFmtId="3" fontId="6" fillId="2" borderId="29" xfId="42" applyNumberFormat="1" applyFont="1" applyFill="1" applyBorder="1" applyAlignment="1" applyProtection="1">
      <alignment horizontal="center" vertical="center"/>
      <protection hidden="1"/>
    </xf>
    <xf numFmtId="0" fontId="5" fillId="2" borderId="29" xfId="42" applyFont="1" applyFill="1" applyBorder="1" applyProtection="1">
      <alignment/>
      <protection hidden="1"/>
    </xf>
    <xf numFmtId="9" fontId="5" fillId="2" borderId="0" xfId="42" applyNumberFormat="1" applyFont="1" applyFill="1" applyBorder="1" applyAlignment="1" applyProtection="1">
      <alignment horizontal="center" vertical="center"/>
      <protection locked="0"/>
    </xf>
    <xf numFmtId="9" fontId="5" fillId="2" borderId="30" xfId="42" applyNumberFormat="1" applyFont="1" applyFill="1" applyBorder="1" applyAlignment="1" applyProtection="1">
      <alignment horizontal="center"/>
      <protection locked="0"/>
    </xf>
    <xf numFmtId="0" fontId="5" fillId="2" borderId="31" xfId="42" applyFont="1" applyFill="1" applyBorder="1" applyProtection="1">
      <alignment/>
      <protection hidden="1"/>
    </xf>
    <xf numFmtId="0" fontId="2" fillId="8" borderId="26" xfId="41" applyFill="1" applyBorder="1" applyAlignment="1" applyProtection="1">
      <alignment horizontal="center" vertical="center"/>
      <protection hidden="1"/>
    </xf>
    <xf numFmtId="0" fontId="0" fillId="8" borderId="26" xfId="0" applyFill="1" applyBorder="1" applyAlignment="1">
      <alignment/>
    </xf>
    <xf numFmtId="0" fontId="4" fillId="20" borderId="0" xfId="64" applyFont="1" applyFill="1" applyBorder="1" applyAlignment="1" applyProtection="1">
      <alignment vertical="center"/>
      <protection hidden="1"/>
    </xf>
    <xf numFmtId="3" fontId="5" fillId="20" borderId="0" xfId="70" applyNumberFormat="1" applyFont="1" applyFill="1" applyBorder="1" applyAlignment="1" applyProtection="1">
      <alignment horizontal="center" vertical="center"/>
      <protection hidden="1"/>
    </xf>
    <xf numFmtId="4" fontId="8" fillId="8" borderId="26" xfId="42" applyNumberFormat="1" applyFont="1" applyFill="1" applyBorder="1" applyAlignment="1" applyProtection="1">
      <alignment vertical="center"/>
      <protection hidden="1"/>
    </xf>
    <xf numFmtId="0" fontId="4" fillId="8" borderId="26" xfId="64" applyFont="1" applyFill="1" applyBorder="1" applyAlignment="1" applyProtection="1">
      <alignment vertical="center"/>
      <protection hidden="1"/>
    </xf>
    <xf numFmtId="3" fontId="10" fillId="8" borderId="26" xfId="64" applyNumberFormat="1" applyFont="1" applyFill="1" applyBorder="1" applyAlignment="1" applyProtection="1">
      <alignment vertical="center"/>
      <protection hidden="1"/>
    </xf>
    <xf numFmtId="0" fontId="4" fillId="20" borderId="0" xfId="64" applyFont="1" applyFill="1" applyBorder="1" applyProtection="1">
      <alignment/>
      <protection hidden="1"/>
    </xf>
    <xf numFmtId="3" fontId="5" fillId="20" borderId="0" xfId="64" applyNumberFormat="1" applyFont="1" applyFill="1" applyBorder="1" applyAlignment="1" applyProtection="1">
      <alignment horizontal="center"/>
      <protection hidden="1"/>
    </xf>
    <xf numFmtId="0" fontId="4" fillId="20" borderId="0" xfId="64" applyFont="1" applyFill="1" applyBorder="1" applyAlignment="1" applyProtection="1">
      <alignment horizontal="left" vertical="center"/>
      <protection hidden="1"/>
    </xf>
    <xf numFmtId="0" fontId="4" fillId="2" borderId="0" xfId="64" applyFont="1" applyFill="1" applyBorder="1" applyAlignment="1" applyProtection="1">
      <alignment horizontal="left" vertical="center"/>
      <protection hidden="1"/>
    </xf>
    <xf numFmtId="3" fontId="5" fillId="20" borderId="0" xfId="42" applyNumberFormat="1" applyFont="1" applyFill="1" applyBorder="1" applyAlignment="1" applyProtection="1">
      <alignment horizontal="center" vertical="center"/>
      <protection hidden="1"/>
    </xf>
    <xf numFmtId="0" fontId="5" fillId="20" borderId="0" xfId="42" applyFont="1" applyFill="1" applyBorder="1" applyAlignment="1" applyProtection="1">
      <alignment horizontal="center" vertical="center"/>
      <protection hidden="1"/>
    </xf>
    <xf numFmtId="0" fontId="5" fillId="20" borderId="0" xfId="42" applyFont="1" applyFill="1" applyBorder="1" applyAlignment="1" applyProtection="1">
      <alignment vertical="center"/>
      <protection hidden="1"/>
    </xf>
    <xf numFmtId="0" fontId="5" fillId="20" borderId="0" xfId="42" applyFont="1" applyFill="1" applyAlignment="1" applyProtection="1">
      <alignment vertical="center"/>
      <protection hidden="1"/>
    </xf>
    <xf numFmtId="180" fontId="5" fillId="20" borderId="0" xfId="46" applyNumberFormat="1" applyFont="1" applyFill="1" applyBorder="1" applyAlignment="1" applyProtection="1">
      <alignment horizontal="center"/>
      <protection hidden="1"/>
    </xf>
    <xf numFmtId="3" fontId="4" fillId="20" borderId="0" xfId="70" applyNumberFormat="1" applyFont="1" applyFill="1" applyBorder="1" applyAlignment="1" applyProtection="1">
      <alignment/>
      <protection hidden="1"/>
    </xf>
    <xf numFmtId="3" fontId="5" fillId="20" borderId="0" xfId="70" applyNumberFormat="1" applyFont="1" applyFill="1" applyBorder="1" applyAlignment="1" applyProtection="1">
      <alignment/>
      <protection hidden="1"/>
    </xf>
    <xf numFmtId="0" fontId="12" fillId="8" borderId="32" xfId="0" applyFont="1" applyFill="1" applyBorder="1" applyAlignment="1" applyProtection="1">
      <alignment vertical="center"/>
      <protection hidden="1"/>
    </xf>
    <xf numFmtId="1" fontId="13" fillId="8" borderId="33" xfId="0" applyNumberFormat="1" applyFont="1" applyFill="1" applyBorder="1" applyAlignment="1" applyProtection="1">
      <alignment vertical="center"/>
      <protection hidden="1"/>
    </xf>
    <xf numFmtId="0" fontId="13" fillId="8" borderId="33" xfId="0" applyFont="1" applyFill="1" applyBorder="1" applyAlignment="1" applyProtection="1">
      <alignment vertical="center"/>
      <protection hidden="1"/>
    </xf>
    <xf numFmtId="0" fontId="4" fillId="8" borderId="34" xfId="45" applyNumberFormat="1" applyFont="1" applyFill="1" applyBorder="1" applyAlignment="1" applyProtection="1">
      <alignment horizontal="left" vertical="center"/>
      <protection hidden="1"/>
    </xf>
    <xf numFmtId="3" fontId="4" fillId="8" borderId="35" xfId="43" applyNumberFormat="1" applyFont="1" applyFill="1" applyBorder="1" applyAlignment="1" applyProtection="1">
      <alignment horizontal="center" vertical="center"/>
      <protection hidden="1"/>
    </xf>
    <xf numFmtId="0" fontId="5" fillId="8" borderId="33" xfId="45" applyFont="1" applyFill="1" applyBorder="1" applyAlignment="1" applyProtection="1">
      <alignment vertical="center"/>
      <protection hidden="1"/>
    </xf>
    <xf numFmtId="0" fontId="4" fillId="20" borderId="9" xfId="45" applyFont="1" applyFill="1" applyBorder="1" applyProtection="1">
      <alignment/>
      <protection hidden="1"/>
    </xf>
    <xf numFmtId="183" fontId="4" fillId="20" borderId="9" xfId="45" applyNumberFormat="1" applyFont="1" applyFill="1" applyBorder="1" applyProtection="1">
      <alignment/>
      <protection hidden="1"/>
    </xf>
    <xf numFmtId="183" fontId="5" fillId="20" borderId="9" xfId="45" applyNumberFormat="1" applyFont="1" applyFill="1" applyBorder="1" applyProtection="1">
      <alignment/>
      <protection hidden="1"/>
    </xf>
    <xf numFmtId="0" fontId="15" fillId="8" borderId="34" xfId="43" applyFont="1" applyFill="1" applyBorder="1" applyAlignment="1" applyProtection="1">
      <alignment horizontal="left" vertical="center"/>
      <protection hidden="1"/>
    </xf>
    <xf numFmtId="0" fontId="5" fillId="8" borderId="33" xfId="43" applyFont="1" applyFill="1" applyBorder="1" applyAlignment="1" applyProtection="1">
      <alignment vertical="center"/>
      <protection hidden="1"/>
    </xf>
    <xf numFmtId="0" fontId="4" fillId="2" borderId="13" xfId="43" applyFont="1" applyFill="1" applyBorder="1" applyProtection="1">
      <alignment/>
      <protection hidden="1"/>
    </xf>
    <xf numFmtId="183" fontId="4" fillId="2" borderId="9" xfId="35" applyNumberFormat="1" applyFont="1" applyFill="1" applyBorder="1" applyAlignment="1" applyProtection="1">
      <alignment/>
      <protection hidden="1"/>
    </xf>
    <xf numFmtId="0" fontId="16" fillId="8" borderId="34" xfId="44" applyFont="1" applyFill="1" applyBorder="1" applyAlignment="1" applyProtection="1">
      <alignment horizontal="left" vertical="center"/>
      <protection hidden="1"/>
    </xf>
    <xf numFmtId="3" fontId="12" fillId="8" borderId="35" xfId="43" applyNumberFormat="1" applyFont="1" applyFill="1" applyBorder="1" applyAlignment="1" applyProtection="1">
      <alignment horizontal="center" vertical="center"/>
      <protection hidden="1"/>
    </xf>
    <xf numFmtId="0" fontId="13" fillId="8" borderId="33" xfId="44" applyFont="1" applyFill="1" applyBorder="1" applyAlignment="1" applyProtection="1">
      <alignment vertical="center"/>
      <protection hidden="1"/>
    </xf>
    <xf numFmtId="0" fontId="12" fillId="2" borderId="9" xfId="44" applyFont="1" applyFill="1" applyBorder="1" applyProtection="1">
      <alignment/>
      <protection hidden="1"/>
    </xf>
    <xf numFmtId="183" fontId="12" fillId="2" borderId="9" xfId="44" applyNumberFormat="1" applyFont="1" applyFill="1" applyBorder="1" applyProtection="1">
      <alignment/>
      <protection hidden="1"/>
    </xf>
    <xf numFmtId="0" fontId="12" fillId="8" borderId="34" xfId="0" applyFont="1" applyFill="1" applyBorder="1" applyAlignment="1" applyProtection="1">
      <alignment vertical="center"/>
      <protection hidden="1"/>
    </xf>
    <xf numFmtId="3" fontId="12" fillId="8" borderId="35" xfId="0" applyNumberFormat="1" applyFont="1" applyFill="1" applyBorder="1" applyAlignment="1" applyProtection="1">
      <alignment horizontal="center" vertical="center"/>
      <protection hidden="1"/>
    </xf>
    <xf numFmtId="0" fontId="13" fillId="8" borderId="33" xfId="0" applyFont="1" applyFill="1" applyBorder="1" applyAlignment="1" applyProtection="1">
      <alignment/>
      <protection hidden="1"/>
    </xf>
    <xf numFmtId="0" fontId="12" fillId="8" borderId="33" xfId="0" applyFont="1" applyFill="1" applyBorder="1" applyAlignment="1" applyProtection="1">
      <alignment horizontal="center" vertical="center"/>
      <protection hidden="1"/>
    </xf>
    <xf numFmtId="0" fontId="12" fillId="8" borderId="33" xfId="0" applyFont="1" applyFill="1" applyBorder="1" applyAlignment="1" applyProtection="1">
      <alignment vertical="center"/>
      <protection hidden="1"/>
    </xf>
    <xf numFmtId="0" fontId="18" fillId="8" borderId="25" xfId="0" applyFont="1" applyFill="1" applyBorder="1" applyAlignment="1">
      <alignment/>
    </xf>
    <xf numFmtId="0" fontId="0" fillId="8" borderId="36" xfId="0" applyFill="1" applyBorder="1" applyAlignment="1">
      <alignment/>
    </xf>
    <xf numFmtId="0" fontId="12" fillId="2" borderId="35" xfId="0" applyFont="1" applyFill="1" applyBorder="1" applyAlignment="1" applyProtection="1">
      <alignment/>
      <protection hidden="1"/>
    </xf>
    <xf numFmtId="9" fontId="13" fillId="2" borderId="35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13" fillId="2" borderId="0" xfId="0" applyFont="1" applyFill="1" applyAlignment="1">
      <alignment/>
    </xf>
    <xf numFmtId="0" fontId="4" fillId="8" borderId="0" xfId="45" applyNumberFormat="1" applyFont="1" applyFill="1" applyBorder="1" applyAlignment="1" applyProtection="1">
      <alignment horizontal="left" vertical="center"/>
      <protection hidden="1"/>
    </xf>
    <xf numFmtId="0" fontId="16" fillId="8" borderId="0" xfId="44" applyFont="1" applyFill="1" applyBorder="1" applyAlignment="1" applyProtection="1">
      <alignment horizontal="left" vertical="center"/>
      <protection hidden="1"/>
    </xf>
    <xf numFmtId="0" fontId="15" fillId="8" borderId="0" xfId="43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2" borderId="9" xfId="0" applyFont="1" applyFill="1" applyBorder="1" applyAlignment="1" applyProtection="1">
      <alignment vertical="center"/>
      <protection hidden="1"/>
    </xf>
    <xf numFmtId="14" fontId="12" fillId="2" borderId="9" xfId="0" applyNumberFormat="1" applyFont="1" applyFill="1" applyBorder="1" applyAlignment="1" applyProtection="1">
      <alignment horizontal="center" vertical="center"/>
      <protection hidden="1"/>
    </xf>
    <xf numFmtId="14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8" borderId="0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/>
      <protection hidden="1"/>
    </xf>
    <xf numFmtId="9" fontId="13" fillId="2" borderId="26" xfId="0" applyNumberFormat="1" applyFont="1" applyFill="1" applyBorder="1" applyAlignment="1" applyProtection="1">
      <alignment/>
      <protection hidden="1"/>
    </xf>
    <xf numFmtId="0" fontId="13" fillId="2" borderId="36" xfId="0" applyFont="1" applyFill="1" applyBorder="1" applyAlignment="1" applyProtection="1">
      <alignment/>
      <protection hidden="1"/>
    </xf>
    <xf numFmtId="0" fontId="12" fillId="2" borderId="9" xfId="0" applyFont="1" applyFill="1" applyBorder="1" applyAlignment="1" applyProtection="1">
      <alignment/>
      <protection hidden="1"/>
    </xf>
    <xf numFmtId="0" fontId="4" fillId="0" borderId="0" xfId="64" applyFont="1" applyFill="1" applyBorder="1" applyProtection="1">
      <alignment/>
      <protection hidden="1"/>
    </xf>
    <xf numFmtId="0" fontId="4" fillId="2" borderId="35" xfId="64" applyFont="1" applyFill="1" applyBorder="1" applyProtection="1">
      <alignment/>
      <protection hidden="1"/>
    </xf>
    <xf numFmtId="0" fontId="5" fillId="2" borderId="35" xfId="64" applyFont="1" applyFill="1" applyBorder="1" applyAlignment="1" applyProtection="1">
      <alignment horizontal="center"/>
      <protection hidden="1"/>
    </xf>
    <xf numFmtId="0" fontId="13" fillId="0" borderId="0" xfId="0" applyFont="1" applyFill="1" applyAlignment="1" applyProtection="1">
      <alignment/>
      <protection hidden="1"/>
    </xf>
    <xf numFmtId="0" fontId="5" fillId="2" borderId="19" xfId="64" applyFont="1" applyFill="1" applyBorder="1" applyAlignment="1" applyProtection="1">
      <alignment vertical="center"/>
      <protection hidden="1"/>
    </xf>
    <xf numFmtId="0" fontId="5" fillId="2" borderId="37" xfId="64" applyFont="1" applyFill="1" applyBorder="1" applyProtection="1">
      <alignment/>
      <protection hidden="1"/>
    </xf>
    <xf numFmtId="0" fontId="13" fillId="0" borderId="38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0" fontId="5" fillId="2" borderId="0" xfId="43" applyFont="1" applyFill="1" applyBorder="1" applyProtection="1">
      <alignment/>
      <protection hidden="1"/>
    </xf>
    <xf numFmtId="0" fontId="5" fillId="2" borderId="0" xfId="64" applyFont="1" applyFill="1" applyBorder="1" applyProtection="1">
      <alignment/>
      <protection hidden="1"/>
    </xf>
    <xf numFmtId="0" fontId="7" fillId="2" borderId="0" xfId="64" applyFont="1" applyFill="1" applyBorder="1" applyProtection="1">
      <alignment/>
      <protection hidden="1"/>
    </xf>
    <xf numFmtId="0" fontId="4" fillId="20" borderId="0" xfId="42" applyFont="1" applyFill="1" applyBorder="1" applyAlignment="1" applyProtection="1">
      <alignment horizontal="center"/>
      <protection hidden="1"/>
    </xf>
    <xf numFmtId="3" fontId="5" fillId="2" borderId="0" xfId="64" applyNumberFormat="1" applyFont="1" applyFill="1" applyBorder="1" applyAlignment="1" applyProtection="1">
      <alignment horizontal="right"/>
      <protection hidden="1"/>
    </xf>
    <xf numFmtId="3" fontId="5" fillId="0" borderId="0" xfId="64" applyNumberFormat="1" applyFont="1" applyBorder="1" applyAlignment="1" applyProtection="1">
      <alignment horizontal="right"/>
      <protection hidden="1"/>
    </xf>
    <xf numFmtId="3" fontId="5" fillId="0" borderId="0" xfId="35" applyNumberFormat="1" applyFont="1" applyBorder="1" applyAlignment="1" applyProtection="1">
      <alignment/>
      <protection hidden="1"/>
    </xf>
    <xf numFmtId="3" fontId="7" fillId="2" borderId="0" xfId="35" applyNumberFormat="1" applyFont="1" applyFill="1" applyBorder="1" applyAlignment="1" applyProtection="1">
      <alignment/>
      <protection hidden="1"/>
    </xf>
    <xf numFmtId="3" fontId="7" fillId="2" borderId="0" xfId="70" applyNumberFormat="1" applyFont="1" applyFill="1" applyBorder="1" applyAlignment="1" applyProtection="1">
      <alignment/>
      <protection hidden="1"/>
    </xf>
    <xf numFmtId="0" fontId="4" fillId="2" borderId="0" xfId="64" applyFont="1" applyFill="1" applyBorder="1" applyProtection="1">
      <alignment/>
      <protection hidden="1"/>
    </xf>
    <xf numFmtId="3" fontId="4" fillId="2" borderId="0" xfId="70" applyNumberFormat="1" applyFont="1" applyFill="1" applyBorder="1" applyAlignment="1" applyProtection="1">
      <alignment/>
      <protection hidden="1"/>
    </xf>
    <xf numFmtId="0" fontId="5" fillId="2" borderId="0" xfId="42" applyFont="1" applyFill="1" applyProtection="1">
      <alignment/>
      <protection hidden="1"/>
    </xf>
    <xf numFmtId="3" fontId="10" fillId="2" borderId="0" xfId="64" applyNumberFormat="1" applyFont="1" applyFill="1" applyBorder="1" applyAlignment="1" applyProtection="1">
      <alignment horizontal="center"/>
      <protection hidden="1"/>
    </xf>
    <xf numFmtId="3" fontId="5" fillId="20" borderId="9" xfId="42" applyNumberFormat="1" applyFont="1" applyFill="1" applyBorder="1" applyAlignment="1" applyProtection="1">
      <alignment horizontal="center" vertical="center"/>
      <protection hidden="1"/>
    </xf>
    <xf numFmtId="3" fontId="5" fillId="0" borderId="9" xfId="46" applyNumberFormat="1" applyFont="1" applyBorder="1" applyAlignment="1" applyProtection="1">
      <alignment/>
      <protection locked="0"/>
    </xf>
    <xf numFmtId="0" fontId="4" fillId="20" borderId="25" xfId="64" applyFont="1" applyFill="1" applyBorder="1" applyProtection="1">
      <alignment/>
      <protection hidden="1"/>
    </xf>
    <xf numFmtId="0" fontId="5" fillId="2" borderId="20" xfId="64" applyFont="1" applyFill="1" applyBorder="1" applyProtection="1">
      <alignment/>
      <protection hidden="1"/>
    </xf>
    <xf numFmtId="0" fontId="5" fillId="2" borderId="21" xfId="64" applyFont="1" applyFill="1" applyBorder="1" applyProtection="1">
      <alignment/>
      <protection hidden="1"/>
    </xf>
    <xf numFmtId="0" fontId="5" fillId="2" borderId="10" xfId="64" applyFont="1" applyFill="1" applyBorder="1" applyProtection="1">
      <alignment/>
      <protection hidden="1"/>
    </xf>
    <xf numFmtId="180" fontId="4" fillId="20" borderId="36" xfId="46" applyNumberFormat="1" applyFont="1" applyFill="1" applyBorder="1" applyAlignment="1" applyProtection="1">
      <alignment horizontal="center"/>
      <protection hidden="1"/>
    </xf>
    <xf numFmtId="0" fontId="4" fillId="20" borderId="9" xfId="64" applyFont="1" applyFill="1" applyBorder="1" applyProtection="1">
      <alignment/>
      <protection hidden="1"/>
    </xf>
    <xf numFmtId="10" fontId="5" fillId="17" borderId="20" xfId="46" applyNumberFormat="1" applyFont="1" applyFill="1" applyBorder="1" applyAlignment="1" applyProtection="1">
      <alignment horizontal="center"/>
      <protection locked="0"/>
    </xf>
    <xf numFmtId="10" fontId="5" fillId="17" borderId="21" xfId="46" applyNumberFormat="1" applyFont="1" applyFill="1" applyBorder="1" applyAlignment="1" applyProtection="1">
      <alignment horizontal="center"/>
      <protection locked="0"/>
    </xf>
    <xf numFmtId="10" fontId="5" fillId="17" borderId="10" xfId="46" applyNumberFormat="1" applyFont="1" applyFill="1" applyBorder="1" applyAlignment="1" applyProtection="1">
      <alignment horizontal="center"/>
      <protection locked="0"/>
    </xf>
    <xf numFmtId="180" fontId="5" fillId="17" borderId="21" xfId="46" applyNumberFormat="1" applyFont="1" applyFill="1" applyBorder="1" applyAlignment="1" applyProtection="1">
      <alignment horizontal="center"/>
      <protection locked="0"/>
    </xf>
    <xf numFmtId="180" fontId="5" fillId="17" borderId="10" xfId="46" applyNumberFormat="1" applyFont="1" applyFill="1" applyBorder="1" applyAlignment="1" applyProtection="1">
      <alignment horizontal="center"/>
      <protection locked="0"/>
    </xf>
    <xf numFmtId="0" fontId="5" fillId="0" borderId="0" xfId="42" applyFont="1" applyProtection="1">
      <alignment/>
      <protection locked="0"/>
    </xf>
    <xf numFmtId="10" fontId="5" fillId="0" borderId="0" xfId="46" applyNumberFormat="1" applyFont="1" applyFill="1" applyBorder="1" applyAlignment="1" applyProtection="1">
      <alignment horizontal="center"/>
      <protection locked="0"/>
    </xf>
    <xf numFmtId="3" fontId="5" fillId="0" borderId="10" xfId="42" applyNumberFormat="1" applyFont="1" applyBorder="1" applyProtection="1">
      <alignment/>
      <protection locked="0"/>
    </xf>
    <xf numFmtId="3" fontId="4" fillId="20" borderId="20" xfId="42" applyNumberFormat="1" applyFont="1" applyFill="1" applyBorder="1" applyAlignment="1" applyProtection="1">
      <alignment horizontal="center" vertical="center"/>
      <protection hidden="1"/>
    </xf>
    <xf numFmtId="3" fontId="5" fillId="0" borderId="20" xfId="42" applyNumberFormat="1" applyFont="1" applyBorder="1" applyProtection="1">
      <alignment/>
      <protection locked="0"/>
    </xf>
    <xf numFmtId="3" fontId="5" fillId="0" borderId="21" xfId="42" applyNumberFormat="1" applyFont="1" applyBorder="1" applyProtection="1">
      <alignment/>
      <protection locked="0"/>
    </xf>
    <xf numFmtId="0" fontId="4" fillId="20" borderId="9" xfId="42" applyFont="1" applyFill="1" applyBorder="1" applyAlignment="1" applyProtection="1">
      <alignment vertical="center"/>
      <protection hidden="1"/>
    </xf>
    <xf numFmtId="0" fontId="5" fillId="2" borderId="38" xfId="64" applyFont="1" applyFill="1" applyBorder="1" applyProtection="1">
      <alignment/>
      <protection hidden="1"/>
    </xf>
    <xf numFmtId="0" fontId="5" fillId="2" borderId="24" xfId="64" applyFont="1" applyFill="1" applyBorder="1" applyProtection="1">
      <alignment/>
      <protection hidden="1"/>
    </xf>
    <xf numFmtId="0" fontId="5" fillId="2" borderId="15" xfId="64" applyFont="1" applyFill="1" applyBorder="1" applyProtection="1">
      <alignment/>
      <protection hidden="1"/>
    </xf>
    <xf numFmtId="0" fontId="4" fillId="20" borderId="9" xfId="42" applyFont="1" applyFill="1" applyBorder="1" applyAlignment="1" applyProtection="1">
      <alignment horizontal="center"/>
      <protection hidden="1"/>
    </xf>
    <xf numFmtId="0" fontId="13" fillId="2" borderId="23" xfId="0" applyFont="1" applyFill="1" applyBorder="1" applyAlignment="1">
      <alignment/>
    </xf>
    <xf numFmtId="0" fontId="13" fillId="8" borderId="0" xfId="0" applyFont="1" applyFill="1" applyAlignment="1">
      <alignment/>
    </xf>
    <xf numFmtId="0" fontId="13" fillId="8" borderId="23" xfId="0" applyFont="1" applyFill="1" applyBorder="1" applyAlignment="1">
      <alignment/>
    </xf>
    <xf numFmtId="3" fontId="24" fillId="2" borderId="0" xfId="64" applyNumberFormat="1" applyFont="1" applyFill="1" applyBorder="1" applyAlignment="1" applyProtection="1">
      <alignment horizontal="center"/>
      <protection locked="0"/>
    </xf>
    <xf numFmtId="0" fontId="13" fillId="0" borderId="16" xfId="0" applyFont="1" applyBorder="1" applyAlignment="1">
      <alignment/>
    </xf>
    <xf numFmtId="0" fontId="5" fillId="20" borderId="9" xfId="42" applyFont="1" applyFill="1" applyBorder="1" applyAlignment="1" applyProtection="1">
      <alignment horizontal="center" vertical="center"/>
      <protection hidden="1"/>
    </xf>
    <xf numFmtId="3" fontId="5" fillId="0" borderId="9" xfId="64" applyNumberFormat="1" applyFont="1" applyBorder="1" applyAlignment="1" applyProtection="1">
      <alignment horizontal="center"/>
      <protection locked="0"/>
    </xf>
    <xf numFmtId="3" fontId="5" fillId="2" borderId="9" xfId="46" applyNumberFormat="1" applyFont="1" applyFill="1" applyBorder="1" applyAlignment="1" applyProtection="1">
      <alignment/>
      <protection locked="0"/>
    </xf>
    <xf numFmtId="3" fontId="5" fillId="2" borderId="9" xfId="64" applyNumberFormat="1" applyFont="1" applyFill="1" applyBorder="1" applyProtection="1">
      <alignment/>
      <protection locked="0"/>
    </xf>
    <xf numFmtId="0" fontId="13" fillId="2" borderId="16" xfId="0" applyFont="1" applyFill="1" applyBorder="1" applyAlignment="1">
      <alignment/>
    </xf>
    <xf numFmtId="0" fontId="13" fillId="2" borderId="17" xfId="0" applyFont="1" applyFill="1" applyBorder="1" applyAlignment="1">
      <alignment/>
    </xf>
    <xf numFmtId="0" fontId="5" fillId="2" borderId="0" xfId="42" applyFont="1" applyFill="1" applyBorder="1" applyProtection="1">
      <alignment/>
      <protection hidden="1"/>
    </xf>
    <xf numFmtId="3" fontId="5" fillId="2" borderId="9" xfId="42" applyNumberFormat="1" applyFont="1" applyFill="1" applyBorder="1" applyAlignment="1" applyProtection="1">
      <alignment horizontal="center" vertical="center"/>
      <protection hidden="1"/>
    </xf>
    <xf numFmtId="0" fontId="25" fillId="2" borderId="0" xfId="64" applyFont="1" applyFill="1" applyAlignment="1" applyProtection="1">
      <alignment horizontal="center"/>
      <protection hidden="1"/>
    </xf>
    <xf numFmtId="3" fontId="25" fillId="2" borderId="0" xfId="42" applyNumberFormat="1" applyFont="1" applyFill="1" applyBorder="1" applyAlignment="1" applyProtection="1">
      <alignment horizontal="center"/>
      <protection hidden="1"/>
    </xf>
    <xf numFmtId="4" fontId="8" fillId="0" borderId="0" xfId="42" applyNumberFormat="1" applyFont="1" applyBorder="1" applyProtection="1">
      <alignment/>
      <protection locked="0"/>
    </xf>
    <xf numFmtId="3" fontId="24" fillId="2" borderId="20" xfId="42" applyNumberFormat="1" applyFont="1" applyFill="1" applyBorder="1" applyAlignment="1" applyProtection="1">
      <alignment horizontal="center"/>
      <protection hidden="1"/>
    </xf>
    <xf numFmtId="3" fontId="24" fillId="2" borderId="21" xfId="42" applyNumberFormat="1" applyFont="1" applyFill="1" applyBorder="1" applyAlignment="1" applyProtection="1">
      <alignment horizontal="center"/>
      <protection hidden="1"/>
    </xf>
    <xf numFmtId="3" fontId="9" fillId="0" borderId="18" xfId="42" applyNumberFormat="1" applyFont="1" applyBorder="1" applyAlignment="1" applyProtection="1">
      <alignment horizontal="center"/>
      <protection hidden="1"/>
    </xf>
    <xf numFmtId="3" fontId="5" fillId="0" borderId="26" xfId="42" applyNumberFormat="1" applyFont="1" applyBorder="1" applyAlignment="1" applyProtection="1">
      <alignment horizontal="center"/>
      <protection hidden="1"/>
    </xf>
    <xf numFmtId="0" fontId="4" fillId="2" borderId="19" xfId="64" applyFont="1" applyFill="1" applyBorder="1" applyAlignment="1" applyProtection="1">
      <alignment horizontal="left" vertical="center"/>
      <protection hidden="1"/>
    </xf>
    <xf numFmtId="0" fontId="5" fillId="0" borderId="0" xfId="42" applyFont="1" applyFill="1" applyBorder="1" applyAlignment="1" applyProtection="1">
      <alignment horizontal="center"/>
      <protection hidden="1"/>
    </xf>
    <xf numFmtId="0" fontId="5" fillId="2" borderId="31" xfId="42" applyFont="1" applyFill="1" applyBorder="1" applyAlignment="1" applyProtection="1">
      <alignment vertical="center"/>
      <protection hidden="1"/>
    </xf>
    <xf numFmtId="0" fontId="4" fillId="0" borderId="0" xfId="64" applyFont="1" applyFill="1" applyBorder="1" applyProtection="1" quotePrefix="1">
      <alignment/>
      <protection hidden="1"/>
    </xf>
    <xf numFmtId="0" fontId="5" fillId="0" borderId="0" xfId="42" applyFont="1" applyFill="1" applyBorder="1" applyProtection="1">
      <alignment/>
      <protection hidden="1"/>
    </xf>
    <xf numFmtId="0" fontId="5" fillId="2" borderId="39" xfId="42" applyFont="1" applyFill="1" applyBorder="1" applyAlignment="1" applyProtection="1">
      <alignment vertical="center"/>
      <protection locked="0"/>
    </xf>
    <xf numFmtId="0" fontId="4" fillId="2" borderId="18" xfId="64" applyFont="1" applyFill="1" applyBorder="1" applyProtection="1" quotePrefix="1">
      <alignment/>
      <protection hidden="1"/>
    </xf>
    <xf numFmtId="0" fontId="5" fillId="2" borderId="18" xfId="42" applyFont="1" applyFill="1" applyBorder="1" applyAlignment="1" applyProtection="1">
      <alignment horizontal="center"/>
      <protection hidden="1"/>
    </xf>
    <xf numFmtId="0" fontId="5" fillId="2" borderId="40" xfId="42" applyFont="1" applyFill="1" applyBorder="1" applyProtection="1">
      <alignment/>
      <protection hidden="1"/>
    </xf>
    <xf numFmtId="0" fontId="5" fillId="2" borderId="41" xfId="42" applyFont="1" applyFill="1" applyBorder="1" applyAlignment="1" applyProtection="1">
      <alignment horizontal="center" vertical="center"/>
      <protection locked="0"/>
    </xf>
    <xf numFmtId="3" fontId="5" fillId="2" borderId="0" xfId="64" applyNumberFormat="1" applyFont="1" applyFill="1" applyBorder="1" applyProtection="1">
      <alignment/>
      <protection hidden="1"/>
    </xf>
    <xf numFmtId="0" fontId="4" fillId="2" borderId="0" xfId="64" applyFont="1" applyFill="1" applyBorder="1" applyAlignment="1" applyProtection="1">
      <alignment vertical="center"/>
      <protection hidden="1"/>
    </xf>
    <xf numFmtId="3" fontId="5" fillId="2" borderId="0" xfId="64" applyNumberFormat="1" applyFont="1" applyFill="1" applyBorder="1" applyAlignment="1" applyProtection="1">
      <alignment horizontal="center" vertical="center"/>
      <protection hidden="1"/>
    </xf>
    <xf numFmtId="3" fontId="5" fillId="2" borderId="0" xfId="64" applyNumberFormat="1" applyFont="1" applyFill="1" applyBorder="1" applyAlignment="1" applyProtection="1">
      <alignment vertical="center"/>
      <protection hidden="1"/>
    </xf>
    <xf numFmtId="3" fontId="5" fillId="2" borderId="9" xfId="64" applyNumberFormat="1" applyFont="1" applyFill="1" applyBorder="1" applyAlignment="1" applyProtection="1">
      <alignment vertical="center"/>
      <protection locked="0"/>
    </xf>
    <xf numFmtId="0" fontId="7" fillId="20" borderId="0" xfId="64" applyFont="1" applyFill="1" applyBorder="1" applyAlignment="1" applyProtection="1">
      <alignment vertical="center"/>
      <protection hidden="1"/>
    </xf>
    <xf numFmtId="0" fontId="5" fillId="2" borderId="9" xfId="42" applyFont="1" applyFill="1" applyBorder="1" applyProtection="1">
      <alignment/>
      <protection hidden="1"/>
    </xf>
    <xf numFmtId="0" fontId="5" fillId="0" borderId="9" xfId="42" applyFont="1" applyBorder="1" applyProtection="1">
      <alignment/>
      <protection locked="0"/>
    </xf>
    <xf numFmtId="180" fontId="5" fillId="2" borderId="9" xfId="46" applyNumberFormat="1" applyFont="1" applyFill="1" applyBorder="1" applyAlignment="1" applyProtection="1">
      <alignment/>
      <protection hidden="1"/>
    </xf>
    <xf numFmtId="0" fontId="5" fillId="0" borderId="9" xfId="64" applyFont="1" applyFill="1" applyBorder="1" applyAlignment="1" applyProtection="1">
      <alignment vertical="center"/>
      <protection hidden="1" locked="0"/>
    </xf>
    <xf numFmtId="3" fontId="5" fillId="2" borderId="9" xfId="42" applyNumberFormat="1" applyFont="1" applyFill="1" applyBorder="1" applyProtection="1">
      <alignment/>
      <protection hidden="1"/>
    </xf>
    <xf numFmtId="0" fontId="4" fillId="2" borderId="0" xfId="42" applyFont="1" applyFill="1" applyBorder="1" applyAlignment="1" applyProtection="1">
      <alignment horizontal="center"/>
      <protection hidden="1"/>
    </xf>
    <xf numFmtId="9" fontId="5" fillId="2" borderId="9" xfId="46" applyFont="1" applyFill="1" applyBorder="1" applyAlignment="1" applyProtection="1">
      <alignment/>
      <protection hidden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3" fontId="13" fillId="2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23" xfId="0" applyFont="1" applyFill="1" applyBorder="1" applyAlignment="1">
      <alignment/>
    </xf>
    <xf numFmtId="0" fontId="27" fillId="0" borderId="0" xfId="0" applyFont="1" applyBorder="1" applyAlignment="1">
      <alignment horizontal="left"/>
    </xf>
    <xf numFmtId="4" fontId="13" fillId="2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0" fontId="5" fillId="17" borderId="9" xfId="42" applyFont="1" applyFill="1" applyBorder="1" applyAlignment="1" applyProtection="1">
      <alignment horizontal="center" vertical="center"/>
      <protection locked="0"/>
    </xf>
    <xf numFmtId="3" fontId="5" fillId="2" borderId="9" xfId="42" applyNumberFormat="1" applyFont="1" applyFill="1" applyBorder="1" applyAlignment="1" applyProtection="1">
      <alignment horizontal="center"/>
      <protection hidden="1"/>
    </xf>
    <xf numFmtId="3" fontId="5" fillId="2" borderId="9" xfId="64" applyNumberFormat="1" applyFont="1" applyFill="1" applyBorder="1" applyProtection="1">
      <alignment/>
      <protection hidden="1"/>
    </xf>
    <xf numFmtId="3" fontId="5" fillId="0" borderId="9" xfId="70" applyNumberFormat="1" applyFont="1" applyBorder="1" applyAlignment="1" applyProtection="1">
      <alignment/>
      <protection locked="0"/>
    </xf>
    <xf numFmtId="180" fontId="5" fillId="0" borderId="9" xfId="46" applyNumberFormat="1" applyFont="1" applyBorder="1" applyAlignment="1" applyProtection="1">
      <alignment horizontal="center"/>
      <protection locked="0"/>
    </xf>
    <xf numFmtId="0" fontId="4" fillId="21" borderId="9" xfId="64" applyFont="1" applyFill="1" applyBorder="1" applyAlignment="1" applyProtection="1">
      <alignment vertical="center"/>
      <protection hidden="1"/>
    </xf>
    <xf numFmtId="0" fontId="4" fillId="21" borderId="9" xfId="42" applyFont="1" applyFill="1" applyBorder="1" applyAlignment="1" applyProtection="1">
      <alignment horizontal="center" vertical="center"/>
      <protection hidden="1"/>
    </xf>
    <xf numFmtId="0" fontId="4" fillId="8" borderId="9" xfId="42" applyFont="1" applyFill="1" applyBorder="1" applyAlignment="1" applyProtection="1">
      <alignment horizontal="center" vertical="center"/>
      <protection hidden="1"/>
    </xf>
    <xf numFmtId="14" fontId="13" fillId="2" borderId="9" xfId="0" applyNumberFormat="1" applyFont="1" applyFill="1" applyBorder="1" applyAlignment="1" applyProtection="1">
      <alignment horizontal="center"/>
      <protection hidden="1"/>
    </xf>
    <xf numFmtId="3" fontId="13" fillId="0" borderId="9" xfId="0" applyNumberFormat="1" applyFont="1" applyBorder="1" applyAlignment="1" applyProtection="1">
      <alignment horizontal="right"/>
      <protection hidden="1"/>
    </xf>
    <xf numFmtId="0" fontId="12" fillId="2" borderId="9" xfId="0" applyFont="1" applyFill="1" applyBorder="1" applyAlignment="1" applyProtection="1">
      <alignment horizontal="center"/>
      <protection hidden="1"/>
    </xf>
    <xf numFmtId="182" fontId="13" fillId="0" borderId="9" xfId="0" applyNumberFormat="1" applyFont="1" applyBorder="1" applyAlignment="1" applyProtection="1">
      <alignment horizontal="center"/>
      <protection hidden="1"/>
    </xf>
    <xf numFmtId="185" fontId="13" fillId="0" borderId="9" xfId="0" applyNumberFormat="1" applyFont="1" applyBorder="1" applyAlignment="1" applyProtection="1">
      <alignment horizontal="center"/>
      <protection hidden="1"/>
    </xf>
    <xf numFmtId="0" fontId="5" fillId="8" borderId="26" xfId="42" applyFont="1" applyFill="1" applyBorder="1" applyAlignment="1" applyProtection="1">
      <alignment horizontal="center" vertical="center"/>
      <protection hidden="1"/>
    </xf>
    <xf numFmtId="180" fontId="5" fillId="0" borderId="9" xfId="42" applyNumberFormat="1" applyFont="1" applyBorder="1" applyAlignment="1" applyProtection="1">
      <alignment horizontal="center"/>
      <protection hidden="1"/>
    </xf>
    <xf numFmtId="0" fontId="4" fillId="8" borderId="9" xfId="64" applyFont="1" applyFill="1" applyBorder="1" applyAlignment="1" applyProtection="1">
      <alignment vertical="center"/>
      <protection hidden="1"/>
    </xf>
    <xf numFmtId="0" fontId="5" fillId="8" borderId="9" xfId="42" applyFont="1" applyFill="1" applyBorder="1" applyAlignment="1" applyProtection="1">
      <alignment horizontal="center" vertical="center"/>
      <protection hidden="1"/>
    </xf>
    <xf numFmtId="0" fontId="4" fillId="22" borderId="9" xfId="64" applyFont="1" applyFill="1" applyBorder="1" applyAlignment="1" applyProtection="1">
      <alignment vertical="center"/>
      <protection hidden="1"/>
    </xf>
    <xf numFmtId="0" fontId="19" fillId="0" borderId="0" xfId="0" applyFont="1" applyFill="1" applyAlignment="1">
      <alignment/>
    </xf>
    <xf numFmtId="0" fontId="19" fillId="0" borderId="23" xfId="0" applyFont="1" applyFill="1" applyBorder="1" applyAlignment="1">
      <alignment/>
    </xf>
    <xf numFmtId="187" fontId="13" fillId="2" borderId="0" xfId="0" applyNumberFormat="1" applyFont="1" applyFill="1" applyAlignment="1">
      <alignment/>
    </xf>
    <xf numFmtId="0" fontId="19" fillId="2" borderId="16" xfId="0" applyFont="1" applyFill="1" applyBorder="1" applyAlignment="1">
      <alignment/>
    </xf>
    <xf numFmtId="4" fontId="13" fillId="2" borderId="16" xfId="0" applyNumberFormat="1" applyFont="1" applyFill="1" applyBorder="1" applyAlignment="1">
      <alignment/>
    </xf>
    <xf numFmtId="2" fontId="13" fillId="8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0" fontId="13" fillId="2" borderId="20" xfId="0" applyFont="1" applyFill="1" applyBorder="1" applyAlignment="1" applyProtection="1">
      <alignment/>
      <protection hidden="1"/>
    </xf>
    <xf numFmtId="0" fontId="13" fillId="2" borderId="21" xfId="0" applyFont="1" applyFill="1" applyBorder="1" applyAlignment="1" applyProtection="1">
      <alignment/>
      <protection hidden="1"/>
    </xf>
    <xf numFmtId="0" fontId="13" fillId="2" borderId="10" xfId="0" applyFont="1" applyFill="1" applyBorder="1" applyAlignment="1" applyProtection="1">
      <alignment/>
      <protection hidden="1"/>
    </xf>
    <xf numFmtId="0" fontId="12" fillId="2" borderId="20" xfId="0" applyFont="1" applyFill="1" applyBorder="1" applyAlignment="1" applyProtection="1">
      <alignment/>
      <protection hidden="1"/>
    </xf>
    <xf numFmtId="0" fontId="12" fillId="2" borderId="21" xfId="0" applyFont="1" applyFill="1" applyBorder="1" applyAlignment="1" applyProtection="1">
      <alignment/>
      <protection hidden="1"/>
    </xf>
    <xf numFmtId="0" fontId="12" fillId="2" borderId="10" xfId="0" applyFont="1" applyFill="1" applyBorder="1" applyAlignment="1" applyProtection="1">
      <alignment/>
      <protection hidden="1"/>
    </xf>
    <xf numFmtId="0" fontId="12" fillId="0" borderId="23" xfId="0" applyFont="1" applyBorder="1" applyAlignment="1" applyProtection="1">
      <alignment/>
      <protection hidden="1"/>
    </xf>
    <xf numFmtId="1" fontId="13" fillId="0" borderId="15" xfId="0" applyNumberFormat="1" applyFont="1" applyBorder="1" applyAlignment="1" applyProtection="1">
      <alignment horizontal="right"/>
      <protection hidden="1"/>
    </xf>
    <xf numFmtId="182" fontId="12" fillId="0" borderId="24" xfId="0" applyNumberFormat="1" applyFont="1" applyBorder="1" applyAlignment="1" applyProtection="1">
      <alignment/>
      <protection hidden="1"/>
    </xf>
    <xf numFmtId="1" fontId="13" fillId="0" borderId="9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2" fontId="13" fillId="0" borderId="0" xfId="0" applyNumberFormat="1" applyFont="1" applyAlignment="1">
      <alignment/>
    </xf>
    <xf numFmtId="2" fontId="13" fillId="2" borderId="0" xfId="0" applyNumberFormat="1" applyFont="1" applyFill="1" applyAlignment="1">
      <alignment/>
    </xf>
    <xf numFmtId="0" fontId="14" fillId="2" borderId="9" xfId="0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183" fontId="8" fillId="0" borderId="0" xfId="45" applyNumberFormat="1" applyFont="1" applyBorder="1" applyProtection="1">
      <alignment/>
      <protection hidden="1" locked="0"/>
    </xf>
    <xf numFmtId="3" fontId="13" fillId="2" borderId="23" xfId="0" applyNumberFormat="1" applyFont="1" applyFill="1" applyBorder="1" applyAlignment="1">
      <alignment/>
    </xf>
    <xf numFmtId="0" fontId="12" fillId="2" borderId="9" xfId="0" applyFont="1" applyFill="1" applyBorder="1" applyAlignment="1" applyProtection="1">
      <alignment/>
      <protection hidden="1"/>
    </xf>
    <xf numFmtId="183" fontId="5" fillId="0" borderId="9" xfId="64" applyNumberFormat="1" applyFont="1" applyBorder="1" applyProtection="1">
      <alignment/>
      <protection locked="0"/>
    </xf>
    <xf numFmtId="183" fontId="5" fillId="0" borderId="9" xfId="42" applyNumberFormat="1" applyFont="1" applyBorder="1" applyProtection="1">
      <alignment/>
      <protection locked="0"/>
    </xf>
    <xf numFmtId="14" fontId="4" fillId="2" borderId="42" xfId="42" applyNumberFormat="1" applyFont="1" applyFill="1" applyBorder="1" applyAlignment="1" applyProtection="1">
      <alignment horizontal="left"/>
      <protection hidden="1"/>
    </xf>
    <xf numFmtId="0" fontId="5" fillId="17" borderId="13" xfId="42" applyFont="1" applyFill="1" applyBorder="1" applyAlignment="1" applyProtection="1">
      <alignment vertical="center"/>
      <protection locked="0"/>
    </xf>
    <xf numFmtId="0" fontId="5" fillId="0" borderId="9" xfId="64" applyFont="1" applyFill="1" applyBorder="1" applyProtection="1">
      <alignment/>
      <protection locked="0"/>
    </xf>
    <xf numFmtId="3" fontId="5" fillId="0" borderId="9" xfId="46" applyNumberFormat="1" applyFont="1" applyFill="1" applyBorder="1" applyAlignment="1" applyProtection="1">
      <alignment horizontal="center"/>
      <protection locked="0"/>
    </xf>
    <xf numFmtId="9" fontId="5" fillId="0" borderId="9" xfId="46" applyFont="1" applyBorder="1" applyAlignment="1" applyProtection="1">
      <alignment horizontal="center"/>
      <protection hidden="1" locked="0"/>
    </xf>
    <xf numFmtId="9" fontId="5" fillId="0" borderId="9" xfId="46" applyFont="1" applyFill="1" applyBorder="1" applyAlignment="1" applyProtection="1">
      <alignment horizontal="center"/>
      <protection locked="0"/>
    </xf>
    <xf numFmtId="3" fontId="5" fillId="0" borderId="0" xfId="46" applyNumberFormat="1" applyFont="1" applyFill="1" applyBorder="1" applyAlignment="1" applyProtection="1">
      <alignment horizontal="center"/>
      <protection locked="0"/>
    </xf>
    <xf numFmtId="9" fontId="5" fillId="0" borderId="0" xfId="46" applyFont="1" applyBorder="1" applyAlignment="1" applyProtection="1">
      <alignment horizontal="center"/>
      <protection hidden="1"/>
    </xf>
    <xf numFmtId="4" fontId="5" fillId="0" borderId="9" xfId="46" applyNumberFormat="1" applyFont="1" applyBorder="1" applyAlignment="1" applyProtection="1">
      <alignment/>
      <protection locked="0"/>
    </xf>
    <xf numFmtId="183" fontId="5" fillId="0" borderId="0" xfId="42" applyNumberFormat="1" applyFont="1" applyBorder="1" applyProtection="1">
      <alignment/>
      <protection locked="0"/>
    </xf>
    <xf numFmtId="0" fontId="51" fillId="0" borderId="0" xfId="0" applyFont="1" applyAlignment="1">
      <alignment/>
    </xf>
    <xf numFmtId="0" fontId="50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omma_BS" xfId="35"/>
    <cellStyle name="Currency" xfId="36"/>
    <cellStyle name="Currency [0]" xfId="37"/>
    <cellStyle name="Currency [0]_Assump." xfId="38"/>
    <cellStyle name="Currency_Assump." xfId="39"/>
    <cellStyle name="Followed Hyperlink" xfId="40"/>
    <cellStyle name="Hyperlink" xfId="41"/>
    <cellStyle name="Normal_Assump." xfId="42"/>
    <cellStyle name="Normal_BS" xfId="43"/>
    <cellStyle name="Normal_CF" xfId="44"/>
    <cellStyle name="Normal_PL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ИнвестАнализ" xfId="64"/>
    <cellStyle name="Плохой" xfId="65"/>
    <cellStyle name="Пояснение" xfId="66"/>
    <cellStyle name="Примечание" xfId="67"/>
    <cellStyle name="Связанная ячейка" xfId="68"/>
    <cellStyle name="Текст предупреждения" xfId="69"/>
    <cellStyle name="Финансовый_ИнвестАнализ" xfId="70"/>
    <cellStyle name="Хороший" xfId="7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0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275"/>
        </c:manualLayout>
      </c:layout>
      <c:lineChart>
        <c:grouping val="standard"/>
        <c:varyColors val="0"/>
        <c:ser>
          <c:idx val="0"/>
          <c:order val="0"/>
          <c:tx>
            <c:v>Оборот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Прибыль!$B$1:$N$1</c:f>
              <c:strCache>
                <c:ptCount val="13"/>
                <c:pt idx="0">
                  <c:v>11/2001</c:v>
                </c:pt>
                <c:pt idx="1">
                  <c:v>12/2001</c:v>
                </c:pt>
                <c:pt idx="2">
                  <c:v>1/2002</c:v>
                </c:pt>
                <c:pt idx="3">
                  <c:v>2/2002</c:v>
                </c:pt>
                <c:pt idx="4">
                  <c:v>3/2002</c:v>
                </c:pt>
                <c:pt idx="5">
                  <c:v>4/2002</c:v>
                </c:pt>
                <c:pt idx="6">
                  <c:v>5/2002</c:v>
                </c:pt>
                <c:pt idx="7">
                  <c:v>6/2002</c:v>
                </c:pt>
                <c:pt idx="8">
                  <c:v>7/2002</c:v>
                </c:pt>
                <c:pt idx="9">
                  <c:v>8/2002</c:v>
                </c:pt>
                <c:pt idx="10">
                  <c:v>9/2002</c:v>
                </c:pt>
                <c:pt idx="11">
                  <c:v>10/2002</c:v>
                </c:pt>
                <c:pt idx="12">
                  <c:v>11/2002</c:v>
                </c:pt>
              </c:strCache>
            </c:strRef>
          </c:cat>
          <c:val>
            <c:numRef>
              <c:f>Прибыль!$B$2:$N$2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410000</c:v>
                </c:pt>
                <c:pt idx="3">
                  <c:v>990000</c:v>
                </c:pt>
                <c:pt idx="4">
                  <c:v>1660000</c:v>
                </c:pt>
                <c:pt idx="5">
                  <c:v>2580000</c:v>
                </c:pt>
                <c:pt idx="6">
                  <c:v>2880000</c:v>
                </c:pt>
                <c:pt idx="7">
                  <c:v>2880000</c:v>
                </c:pt>
                <c:pt idx="8">
                  <c:v>2280000</c:v>
                </c:pt>
                <c:pt idx="9">
                  <c:v>2280000</c:v>
                </c:pt>
                <c:pt idx="10">
                  <c:v>3480000</c:v>
                </c:pt>
                <c:pt idx="11">
                  <c:v>4080000</c:v>
                </c:pt>
                <c:pt idx="12">
                  <c:v>4080000</c:v>
                </c:pt>
              </c:numCache>
            </c:numRef>
          </c:val>
          <c:smooth val="0"/>
        </c:ser>
        <c:ser>
          <c:idx val="1"/>
          <c:order val="1"/>
          <c:tx>
            <c:v>Валовая прибыль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Прибыль!$B$1:$D$1</c:f>
              <c:strCache>
                <c:ptCount val="3"/>
                <c:pt idx="0">
                  <c:v>11/2001</c:v>
                </c:pt>
                <c:pt idx="1">
                  <c:v>12/2001</c:v>
                </c:pt>
                <c:pt idx="2">
                  <c:v>1/2002</c:v>
                </c:pt>
              </c:strCache>
            </c:strRef>
          </c:cat>
          <c:val>
            <c:numRef>
              <c:f>Прибыль!$B$7:$N$7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410000</c:v>
                </c:pt>
                <c:pt idx="3">
                  <c:v>990000</c:v>
                </c:pt>
                <c:pt idx="4">
                  <c:v>1660000</c:v>
                </c:pt>
                <c:pt idx="5">
                  <c:v>2580000</c:v>
                </c:pt>
                <c:pt idx="6">
                  <c:v>2880000</c:v>
                </c:pt>
                <c:pt idx="7">
                  <c:v>2880000</c:v>
                </c:pt>
                <c:pt idx="8">
                  <c:v>2280000</c:v>
                </c:pt>
                <c:pt idx="9">
                  <c:v>2280000</c:v>
                </c:pt>
                <c:pt idx="10">
                  <c:v>3480000</c:v>
                </c:pt>
                <c:pt idx="11">
                  <c:v>4080000</c:v>
                </c:pt>
                <c:pt idx="12">
                  <c:v>4080000</c:v>
                </c:pt>
              </c:numCache>
            </c:numRef>
          </c:val>
          <c:smooth val="0"/>
        </c:ser>
        <c:ser>
          <c:idx val="2"/>
          <c:order val="2"/>
          <c:tx>
            <c:v>Чистая прибыль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Прибыль!$B$1:$D$1</c:f>
              <c:strCache>
                <c:ptCount val="3"/>
                <c:pt idx="0">
                  <c:v>11/2001</c:v>
                </c:pt>
                <c:pt idx="1">
                  <c:v>12/2001</c:v>
                </c:pt>
                <c:pt idx="2">
                  <c:v>1/2002</c:v>
                </c:pt>
              </c:strCache>
            </c:strRef>
          </c:cat>
          <c:val>
            <c:numRef>
              <c:f>Прибыль!$B$30:$N$30</c:f>
              <c:numCache>
                <c:ptCount val="13"/>
                <c:pt idx="0">
                  <c:v>-155500</c:v>
                </c:pt>
                <c:pt idx="1">
                  <c:v>-1632500</c:v>
                </c:pt>
                <c:pt idx="2">
                  <c:v>-1463024.8333333333</c:v>
                </c:pt>
                <c:pt idx="3">
                  <c:v>-890924.8333333334</c:v>
                </c:pt>
                <c:pt idx="4">
                  <c:v>-270924.8333333334</c:v>
                </c:pt>
                <c:pt idx="5">
                  <c:v>704130.6566666666</c:v>
                </c:pt>
                <c:pt idx="6">
                  <c:v>704130.6566666666</c:v>
                </c:pt>
                <c:pt idx="7">
                  <c:v>1192930.6566666667</c:v>
                </c:pt>
                <c:pt idx="8">
                  <c:v>628930.6566666666</c:v>
                </c:pt>
                <c:pt idx="9">
                  <c:v>652430.6566666666</c:v>
                </c:pt>
                <c:pt idx="10">
                  <c:v>1691130.6566666667</c:v>
                </c:pt>
                <c:pt idx="11">
                  <c:v>2278630.6566666667</c:v>
                </c:pt>
                <c:pt idx="12">
                  <c:v>2278630.6566666667</c:v>
                </c:pt>
              </c:numCache>
            </c:numRef>
          </c:val>
          <c:smooth val="0"/>
        </c:ser>
        <c:marker val="1"/>
        <c:axId val="11445974"/>
        <c:axId val="35904903"/>
      </c:line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04903"/>
        <c:crosses val="autoZero"/>
        <c:auto val="1"/>
        <c:lblOffset val="100"/>
        <c:tickLblSkip val="2"/>
        <c:noMultiLvlLbl val="0"/>
      </c:catAx>
      <c:valAx>
        <c:axId val="35904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45974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EAEAE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25"/>
          <c:y val="0.92475"/>
          <c:w val="0.486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975"/>
          <c:w val="0.986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Прибыль!$B$1:$N$1</c:f>
              <c:strCache>
                <c:ptCount val="13"/>
                <c:pt idx="0">
                  <c:v>11/2001</c:v>
                </c:pt>
                <c:pt idx="1">
                  <c:v>12/2001</c:v>
                </c:pt>
                <c:pt idx="2">
                  <c:v>1/2002</c:v>
                </c:pt>
                <c:pt idx="3">
                  <c:v>2/2002</c:v>
                </c:pt>
                <c:pt idx="4">
                  <c:v>3/2002</c:v>
                </c:pt>
                <c:pt idx="5">
                  <c:v>4/2002</c:v>
                </c:pt>
                <c:pt idx="6">
                  <c:v>5/2002</c:v>
                </c:pt>
                <c:pt idx="7">
                  <c:v>6/2002</c:v>
                </c:pt>
                <c:pt idx="8">
                  <c:v>7/2002</c:v>
                </c:pt>
                <c:pt idx="9">
                  <c:v>8/2002</c:v>
                </c:pt>
                <c:pt idx="10">
                  <c:v>9/2002</c:v>
                </c:pt>
                <c:pt idx="11">
                  <c:v>10/2002</c:v>
                </c:pt>
                <c:pt idx="12">
                  <c:v>11/2002</c:v>
                </c:pt>
              </c:strCache>
            </c:strRef>
          </c:cat>
          <c:val>
            <c:numRef>
              <c:f>Анализ!$B$41:$N$41</c:f>
              <c:numCache>
                <c:ptCount val="13"/>
                <c:pt idx="0">
                  <c:v>-95500</c:v>
                </c:pt>
                <c:pt idx="1">
                  <c:v>-1892500</c:v>
                </c:pt>
                <c:pt idx="2">
                  <c:v>-1445025</c:v>
                </c:pt>
                <c:pt idx="3">
                  <c:v>-822925</c:v>
                </c:pt>
                <c:pt idx="4">
                  <c:v>-225925</c:v>
                </c:pt>
                <c:pt idx="5">
                  <c:v>746880.49</c:v>
                </c:pt>
                <c:pt idx="6">
                  <c:v>746880.49</c:v>
                </c:pt>
                <c:pt idx="7">
                  <c:v>1235680.49</c:v>
                </c:pt>
                <c:pt idx="8">
                  <c:v>671680.49</c:v>
                </c:pt>
                <c:pt idx="9">
                  <c:v>695180.49</c:v>
                </c:pt>
                <c:pt idx="10">
                  <c:v>1733880.49</c:v>
                </c:pt>
                <c:pt idx="11">
                  <c:v>2321380.49</c:v>
                </c:pt>
                <c:pt idx="12">
                  <c:v>2321380.49</c:v>
                </c:pt>
              </c:numCache>
            </c:numRef>
          </c:val>
          <c:smooth val="1"/>
        </c:ser>
        <c:marker val="1"/>
        <c:axId val="54708672"/>
        <c:axId val="22616001"/>
      </c:line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16001"/>
        <c:crosses val="autoZero"/>
        <c:auto val="1"/>
        <c:lblOffset val="100"/>
        <c:tickLblSkip val="2"/>
        <c:noMultiLvlLbl val="0"/>
      </c:catAx>
      <c:valAx>
        <c:axId val="22616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08672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EAEAE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975"/>
          <c:w val="0.986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Прибыль!$B$1:$N$1</c:f>
              <c:strCache>
                <c:ptCount val="13"/>
                <c:pt idx="0">
                  <c:v>11/2001</c:v>
                </c:pt>
                <c:pt idx="1">
                  <c:v>12/2001</c:v>
                </c:pt>
                <c:pt idx="2">
                  <c:v>1/2002</c:v>
                </c:pt>
                <c:pt idx="3">
                  <c:v>2/2002</c:v>
                </c:pt>
                <c:pt idx="4">
                  <c:v>3/2002</c:v>
                </c:pt>
                <c:pt idx="5">
                  <c:v>4/2002</c:v>
                </c:pt>
                <c:pt idx="6">
                  <c:v>5/2002</c:v>
                </c:pt>
                <c:pt idx="7">
                  <c:v>6/2002</c:v>
                </c:pt>
                <c:pt idx="8">
                  <c:v>7/2002</c:v>
                </c:pt>
                <c:pt idx="9">
                  <c:v>8/2002</c:v>
                </c:pt>
                <c:pt idx="10">
                  <c:v>9/2002</c:v>
                </c:pt>
                <c:pt idx="11">
                  <c:v>10/2002</c:v>
                </c:pt>
                <c:pt idx="12">
                  <c:v>11/2002</c:v>
                </c:pt>
              </c:strCache>
            </c:strRef>
          </c:cat>
          <c:val>
            <c:numRef>
              <c:f>Анализ!$B$43:$N$43</c:f>
              <c:numCache>
                <c:ptCount val="13"/>
                <c:pt idx="0">
                  <c:v>-94059.99190905369</c:v>
                </c:pt>
                <c:pt idx="1">
                  <c:v>-1929917.70770466</c:v>
                </c:pt>
                <c:pt idx="2">
                  <c:v>-3310556.453681796</c:v>
                </c:pt>
                <c:pt idx="3">
                  <c:v>-4084958.5465740752</c:v>
                </c:pt>
                <c:pt idx="4">
                  <c:v>-4294356.348389784</c:v>
                </c:pt>
                <c:pt idx="5">
                  <c:v>-3612550.83663903</c:v>
                </c:pt>
                <c:pt idx="6">
                  <c:v>-2941026.010263908</c:v>
                </c:pt>
                <c:pt idx="7">
                  <c:v>-1846770.5725036582</c:v>
                </c:pt>
                <c:pt idx="8">
                  <c:v>-1260933.5377286866</c:v>
                </c:pt>
                <c:pt idx="9">
                  <c:v>-663742.5708251206</c:v>
                </c:pt>
                <c:pt idx="10">
                  <c:v>803278.5957568189</c:v>
                </c:pt>
                <c:pt idx="11">
                  <c:v>2737762.4785027257</c:v>
                </c:pt>
                <c:pt idx="12">
                  <c:v>4643077.016296178</c:v>
                </c:pt>
              </c:numCache>
            </c:numRef>
          </c:val>
          <c:smooth val="1"/>
        </c:ser>
        <c:marker val="1"/>
        <c:axId val="2217418"/>
        <c:axId val="19956763"/>
      </c:line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56763"/>
        <c:crosses val="autoZero"/>
        <c:auto val="1"/>
        <c:lblOffset val="100"/>
        <c:tickLblSkip val="2"/>
        <c:noMultiLvlLbl val="0"/>
      </c:catAx>
      <c:valAx>
        <c:axId val="19956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418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EAEAE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8</xdr:col>
      <xdr:colOff>647700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9525" y="323850"/>
        <a:ext cx="5972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657225</xdr:colOff>
      <xdr:row>46</xdr:row>
      <xdr:rowOff>0</xdr:rowOff>
    </xdr:to>
    <xdr:graphicFrame>
      <xdr:nvGraphicFramePr>
        <xdr:cNvPr id="2" name="Диаграмма 2"/>
        <xdr:cNvGraphicFramePr/>
      </xdr:nvGraphicFramePr>
      <xdr:xfrm>
        <a:off x="0" y="4210050"/>
        <a:ext cx="59912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48</xdr:row>
      <xdr:rowOff>0</xdr:rowOff>
    </xdr:from>
    <xdr:to>
      <xdr:col>9</xdr:col>
      <xdr:colOff>0</xdr:colOff>
      <xdr:row>68</xdr:row>
      <xdr:rowOff>0</xdr:rowOff>
    </xdr:to>
    <xdr:graphicFrame>
      <xdr:nvGraphicFramePr>
        <xdr:cNvPr id="3" name="Диаграмма 3"/>
        <xdr:cNvGraphicFramePr/>
      </xdr:nvGraphicFramePr>
      <xdr:xfrm>
        <a:off x="9525" y="7772400"/>
        <a:ext cx="599122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282"/>
  <sheetViews>
    <sheetView zoomScalePageLayoutView="0" workbookViewId="0" topLeftCell="A241">
      <selection activeCell="B259" sqref="B259"/>
    </sheetView>
  </sheetViews>
  <sheetFormatPr defaultColWidth="9.125" defaultRowHeight="12.75" outlineLevelRow="1"/>
  <cols>
    <col min="1" max="1" width="36.875" style="7" customWidth="1"/>
    <col min="2" max="2" width="10.75390625" style="7" customWidth="1"/>
    <col min="3" max="3" width="9.125" style="7" customWidth="1"/>
    <col min="4" max="15" width="8.75390625" style="7" customWidth="1"/>
    <col min="16" max="16384" width="9.125" style="7" customWidth="1"/>
  </cols>
  <sheetData>
    <row r="1" spans="1:2" s="167" customFormat="1" ht="15.75" customHeight="1">
      <c r="A1" s="166" t="s">
        <v>328</v>
      </c>
      <c r="B1" s="183"/>
    </row>
    <row r="2" spans="1:15" s="4" customFormat="1" ht="12.75" customHeight="1" outlineLevel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 customHeight="1" outlineLevel="1">
      <c r="A3" s="1" t="s">
        <v>329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64" customFormat="1" ht="15" customHeight="1" outlineLevel="1">
      <c r="A4" s="165" t="s">
        <v>168</v>
      </c>
      <c r="B4" s="16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ht="12.75" customHeight="1" outlineLevel="1" thickBot="1"/>
    <row r="6" spans="1:3" ht="12.75" customHeight="1" outlineLevel="1">
      <c r="A6" s="168" t="s">
        <v>330</v>
      </c>
      <c r="B6" s="399">
        <f>Расчеты!B2</f>
        <v>37196</v>
      </c>
      <c r="C6" s="169"/>
    </row>
    <row r="7" spans="1:3" ht="12.75" customHeight="1" outlineLevel="1">
      <c r="A7" s="170" t="s">
        <v>331</v>
      </c>
      <c r="B7" s="172" t="str">
        <f>IF(INT(PRJ_DURATION*PERIOD_LEN/12)&gt;0,TEXT(INT(PRJ_DURATION*PERIOD_LEN/12),"#")&amp;CHOOSE(MIN(INT(PRJ_DURATION*PERIOD_LEN/12),5)," год "," года "," года "," года "," лет "),"")&amp;IF(MOD(PRJ_DURATION*PERIOD_LEN,12)&gt;0,TEXT(MOD(PRJ_DURATION*PERIOD_LEN,12),"#")&amp;" мес.","")</f>
        <v>1 год 1 мес.</v>
      </c>
      <c r="C7" s="171"/>
    </row>
    <row r="8" spans="1:3" ht="12.75" customHeight="1" outlineLevel="1">
      <c r="A8" s="170" t="s">
        <v>332</v>
      </c>
      <c r="B8" s="172" t="str">
        <f>CHOOSE(Расчеты!B6+1,"Месяц","Квартал","6 месяцев","Год")</f>
        <v>Месяц</v>
      </c>
      <c r="C8" s="171"/>
    </row>
    <row r="9" spans="1:3" ht="15.75" customHeight="1" outlineLevel="1">
      <c r="A9" s="170"/>
      <c r="B9" s="172"/>
      <c r="C9" s="171"/>
    </row>
    <row r="10" spans="1:15" ht="13.5" customHeight="1" outlineLevel="1">
      <c r="A10" s="173" t="s">
        <v>333</v>
      </c>
      <c r="B10" s="174"/>
      <c r="C10" s="17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10" customFormat="1" ht="15.75" customHeight="1" outlineLevel="1">
      <c r="A11" s="317" t="s">
        <v>59</v>
      </c>
      <c r="B11" s="176"/>
      <c r="C11" s="17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10" customFormat="1" ht="12.75" customHeight="1" outlineLevel="1">
      <c r="A12" s="245" t="s">
        <v>60</v>
      </c>
      <c r="B12" s="176" t="s">
        <v>335</v>
      </c>
      <c r="C12" s="17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10" customFormat="1" ht="12.75" customHeight="1" outlineLevel="1">
      <c r="A13" s="400" t="s">
        <v>169</v>
      </c>
      <c r="B13" s="352" t="s">
        <v>336</v>
      </c>
      <c r="C13" s="17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10" customFormat="1" ht="12.75" customHeight="1" outlineLevel="1">
      <c r="A14" s="400" t="s">
        <v>172</v>
      </c>
      <c r="B14" s="352" t="s">
        <v>336</v>
      </c>
      <c r="C14" s="17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10" customFormat="1" ht="12.75" customHeight="1" outlineLevel="1">
      <c r="A15" s="400" t="s">
        <v>173</v>
      </c>
      <c r="B15" s="352" t="s">
        <v>336</v>
      </c>
      <c r="C15" s="17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10" customFormat="1" ht="12.75" customHeight="1" outlineLevel="1">
      <c r="A16" s="400" t="s">
        <v>174</v>
      </c>
      <c r="B16" s="352" t="s">
        <v>336</v>
      </c>
      <c r="C16" s="177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0" customFormat="1" ht="12.75" customHeight="1" outlineLevel="1">
      <c r="A17" s="400" t="s">
        <v>171</v>
      </c>
      <c r="B17" s="352" t="s">
        <v>336</v>
      </c>
      <c r="C17" s="177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3" s="10" customFormat="1" ht="12.75" customHeight="1" outlineLevel="1" thickBot="1">
      <c r="A18" s="322"/>
      <c r="B18" s="326"/>
      <c r="C18" s="319"/>
    </row>
    <row r="19" spans="1:3" ht="12.75" customHeight="1">
      <c r="A19" s="320"/>
      <c r="B19" s="318"/>
      <c r="C19" s="321"/>
    </row>
    <row r="20" spans="1:3" ht="12.75" customHeight="1">
      <c r="A20" s="323"/>
      <c r="B20" s="324"/>
      <c r="C20" s="325"/>
    </row>
    <row r="21" spans="1:3" ht="17.25" customHeight="1">
      <c r="A21" s="245" t="s">
        <v>303</v>
      </c>
      <c r="B21" s="179"/>
      <c r="C21" s="178"/>
    </row>
    <row r="22" spans="1:4" ht="16.5" customHeight="1">
      <c r="A22" s="245" t="s">
        <v>478</v>
      </c>
      <c r="B22" s="179"/>
      <c r="C22" s="178"/>
      <c r="D22" s="6"/>
    </row>
    <row r="23" spans="1:3" ht="12.75" customHeight="1" thickBot="1">
      <c r="A23" s="246"/>
      <c r="B23" s="180"/>
      <c r="C23" s="181"/>
    </row>
    <row r="24" ht="12.75" customHeight="1"/>
    <row r="25" spans="1:15" s="167" customFormat="1" ht="15.75" customHeight="1" collapsed="1">
      <c r="A25" s="166" t="s">
        <v>175</v>
      </c>
      <c r="B25" s="182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ht="12.75" customHeight="1" hidden="1" outlineLevel="1"/>
    <row r="27" spans="1:2" ht="12.75" customHeight="1" hidden="1" outlineLevel="1">
      <c r="A27" s="275" t="s">
        <v>258</v>
      </c>
      <c r="B27" s="296" t="s">
        <v>409</v>
      </c>
    </row>
    <row r="28" spans="1:2" ht="12.75" customHeight="1" hidden="1" outlineLevel="1">
      <c r="A28" s="293" t="s">
        <v>259</v>
      </c>
      <c r="B28" s="284">
        <v>0.06</v>
      </c>
    </row>
    <row r="29" spans="1:2" ht="12.75" customHeight="1" hidden="1" outlineLevel="1">
      <c r="A29" s="294" t="s">
        <v>260</v>
      </c>
      <c r="B29" s="284">
        <v>0</v>
      </c>
    </row>
    <row r="30" spans="1:2" ht="12.75" customHeight="1" hidden="1" outlineLevel="1">
      <c r="A30" s="294" t="s">
        <v>285</v>
      </c>
      <c r="B30" s="284">
        <v>0</v>
      </c>
    </row>
    <row r="31" spans="1:2" ht="12.75" customHeight="1" hidden="1" outlineLevel="1">
      <c r="A31" s="294" t="s">
        <v>262</v>
      </c>
      <c r="B31" s="284">
        <v>0</v>
      </c>
    </row>
    <row r="32" spans="1:2" ht="12.75" customHeight="1" hidden="1" outlineLevel="1">
      <c r="A32" s="295" t="s">
        <v>263</v>
      </c>
      <c r="B32" s="285">
        <v>0.365</v>
      </c>
    </row>
    <row r="33" ht="12.75" customHeight="1" hidden="1" outlineLevel="1">
      <c r="B33" s="32"/>
    </row>
    <row r="34" spans="1:2" ht="12.75" customHeight="1" hidden="1" outlineLevel="1">
      <c r="A34" s="280" t="s">
        <v>408</v>
      </c>
      <c r="B34" s="279" t="s">
        <v>409</v>
      </c>
    </row>
    <row r="35" spans="1:2" ht="12.75" customHeight="1" hidden="1" outlineLevel="1">
      <c r="A35" s="277" t="s">
        <v>410</v>
      </c>
      <c r="B35" s="281">
        <v>0.02</v>
      </c>
    </row>
    <row r="36" spans="1:2" ht="12.75" customHeight="1" hidden="1" outlineLevel="1">
      <c r="A36" s="277" t="s">
        <v>411</v>
      </c>
      <c r="B36" s="282">
        <v>0.2</v>
      </c>
    </row>
    <row r="37" spans="1:2" ht="12.75" customHeight="1" hidden="1" outlineLevel="1">
      <c r="A37" s="277" t="s">
        <v>412</v>
      </c>
      <c r="B37" s="282">
        <v>0.15</v>
      </c>
    </row>
    <row r="38" spans="1:2" ht="12.75" customHeight="1" hidden="1" outlineLevel="1">
      <c r="A38" s="277" t="s">
        <v>413</v>
      </c>
      <c r="B38" s="282">
        <v>0.3333</v>
      </c>
    </row>
    <row r="39" spans="1:2" ht="12.75" customHeight="1" hidden="1" outlineLevel="1">
      <c r="A39" s="278" t="s">
        <v>414</v>
      </c>
      <c r="B39" s="283">
        <v>0.2</v>
      </c>
    </row>
    <row r="40" spans="1:2" ht="12.75" customHeight="1" hidden="1" outlineLevel="1">
      <c r="A40" s="29"/>
      <c r="B40" s="287"/>
    </row>
    <row r="41" spans="1:2" ht="12.75" customHeight="1" hidden="1" outlineLevel="1">
      <c r="A41" s="292" t="s">
        <v>528</v>
      </c>
      <c r="B41" s="289" t="s">
        <v>529</v>
      </c>
    </row>
    <row r="42" spans="1:2" ht="12.75" customHeight="1" hidden="1" outlineLevel="1">
      <c r="A42" s="276" t="s">
        <v>393</v>
      </c>
      <c r="B42" s="290">
        <v>0</v>
      </c>
    </row>
    <row r="43" spans="1:2" ht="12.75" customHeight="1" hidden="1" outlineLevel="1">
      <c r="A43" s="277" t="s">
        <v>394</v>
      </c>
      <c r="B43" s="291">
        <v>0</v>
      </c>
    </row>
    <row r="44" spans="1:2" ht="12.75" customHeight="1" hidden="1" outlineLevel="1">
      <c r="A44" s="278" t="s">
        <v>395</v>
      </c>
      <c r="B44" s="288">
        <v>0</v>
      </c>
    </row>
    <row r="45" ht="12.75" customHeight="1" hidden="1" outlineLevel="1"/>
    <row r="46" spans="1:2" ht="12.75" customHeight="1" hidden="1" outlineLevel="1">
      <c r="A46" s="245" t="s">
        <v>337</v>
      </c>
      <c r="B46" s="11">
        <v>0.2</v>
      </c>
    </row>
    <row r="47" ht="12.75" customHeight="1"/>
    <row r="48" spans="1:2" s="167" customFormat="1" ht="15.75" customHeight="1" collapsed="1">
      <c r="A48" s="166" t="s">
        <v>415</v>
      </c>
      <c r="B48" s="182"/>
    </row>
    <row r="49" spans="2:3" ht="12.75" customHeight="1" hidden="1" outlineLevel="1">
      <c r="B49" s="32"/>
      <c r="C49" s="5"/>
    </row>
    <row r="50" spans="1:2" ht="12.75" customHeight="1" hidden="1" outlineLevel="1">
      <c r="A50" s="189" t="s">
        <v>416</v>
      </c>
      <c r="B50" s="263" t="str">
        <f>CURRENCY_NAME</f>
        <v>руб.</v>
      </c>
    </row>
    <row r="51" spans="1:2" ht="12.75" customHeight="1" hidden="1" outlineLevel="1">
      <c r="A51" s="260" t="s">
        <v>418</v>
      </c>
      <c r="B51" s="264">
        <f>SUM(B52:B56)</f>
        <v>0</v>
      </c>
    </row>
    <row r="52" spans="1:2" ht="12.75" customHeight="1" hidden="1" outlineLevel="1">
      <c r="A52" s="261" t="s">
        <v>419</v>
      </c>
      <c r="B52" s="265"/>
    </row>
    <row r="53" spans="1:2" ht="12.75" customHeight="1" hidden="1" outlineLevel="1">
      <c r="A53" s="261" t="s">
        <v>420</v>
      </c>
      <c r="B53" s="265"/>
    </row>
    <row r="54" spans="1:2" ht="12.75" customHeight="1" hidden="1" outlineLevel="1">
      <c r="A54" s="261" t="s">
        <v>421</v>
      </c>
      <c r="B54" s="265"/>
    </row>
    <row r="55" spans="1:2" ht="12.75" customHeight="1" hidden="1" outlineLevel="1">
      <c r="A55" s="261" t="s">
        <v>422</v>
      </c>
      <c r="B55" s="265"/>
    </row>
    <row r="56" spans="1:2" ht="12.75" customHeight="1" hidden="1" outlineLevel="1">
      <c r="A56" s="261" t="s">
        <v>423</v>
      </c>
      <c r="B56" s="265"/>
    </row>
    <row r="57" spans="1:2" ht="12.75" customHeight="1" hidden="1" outlineLevel="1">
      <c r="A57" s="260" t="s">
        <v>490</v>
      </c>
      <c r="B57" s="266"/>
    </row>
    <row r="58" spans="1:2" ht="12.75" customHeight="1" hidden="1" outlineLevel="1">
      <c r="A58" s="260" t="s">
        <v>424</v>
      </c>
      <c r="B58" s="266"/>
    </row>
    <row r="59" spans="1:2" ht="12.75" customHeight="1" hidden="1" outlineLevel="1">
      <c r="A59" s="260" t="s">
        <v>400</v>
      </c>
      <c r="B59" s="267">
        <f>B51+B57+B58</f>
        <v>0</v>
      </c>
    </row>
    <row r="60" spans="1:2" ht="12.75" customHeight="1" hidden="1" outlineLevel="1">
      <c r="A60" s="189" t="s">
        <v>425</v>
      </c>
      <c r="B60" s="197"/>
    </row>
    <row r="61" spans="1:2" ht="12.75" customHeight="1" hidden="1" outlineLevel="1">
      <c r="A61" s="261" t="s">
        <v>426</v>
      </c>
      <c r="B61" s="13">
        <f ca="1">SUM(B62:OFFSET(B62,PRODUCTS_NUM-1,0))</f>
        <v>0</v>
      </c>
    </row>
    <row r="62" spans="1:2" ht="12.75" customHeight="1" hidden="1" outlineLevel="1">
      <c r="A62" s="262" t="str">
        <f>"    "&amp;A13</f>
        <v>    Имиджевая реклама на канале INDARAP</v>
      </c>
      <c r="B62" s="13">
        <v>0</v>
      </c>
    </row>
    <row r="63" spans="1:2" ht="12.75" customHeight="1" hidden="1" outlineLevel="1">
      <c r="A63" s="262" t="str">
        <f>"    "&amp;A14</f>
        <v>    Платная регистрация на канале INDARAP "Клетка"</v>
      </c>
      <c r="B63" s="13">
        <v>0</v>
      </c>
    </row>
    <row r="64" spans="1:2" ht="12.75" customHeight="1" hidden="1" outlineLevel="1">
      <c r="A64" s="262" t="str">
        <f>"    "&amp;A15</f>
        <v>    СМС голосование за участников проекта "Клетка"</v>
      </c>
      <c r="B64" s="13">
        <v>0</v>
      </c>
    </row>
    <row r="65" spans="1:2" ht="12.75" customHeight="1" hidden="1" outlineLevel="1">
      <c r="A65" s="262" t="str">
        <f>"    "&amp;A16</f>
        <v>    Спецпроекты рекламодателей (концерты, шоу…)</v>
      </c>
      <c r="B65" s="13">
        <v>0</v>
      </c>
    </row>
    <row r="66" spans="1:2" ht="12.75" customHeight="1" hidden="1" outlineLevel="1">
      <c r="A66" s="262" t="str">
        <f>"    "&amp;A17</f>
        <v>    Продакт плэйсмент в шоу "Клетка"</v>
      </c>
      <c r="B66" s="13">
        <v>0</v>
      </c>
    </row>
    <row r="67" spans="1:2" ht="12.75" customHeight="1" hidden="1" outlineLevel="1">
      <c r="A67" s="261" t="s">
        <v>427</v>
      </c>
      <c r="B67" s="13"/>
    </row>
    <row r="68" spans="1:2" ht="12.75" customHeight="1" hidden="1" outlineLevel="1">
      <c r="A68" s="261" t="s">
        <v>566</v>
      </c>
      <c r="B68" s="13"/>
    </row>
    <row r="69" spans="1:2" ht="12.75" customHeight="1" hidden="1" outlineLevel="1">
      <c r="A69" s="261" t="s">
        <v>567</v>
      </c>
      <c r="B69" s="13"/>
    </row>
    <row r="70" spans="1:2" ht="12.75" customHeight="1" hidden="1" outlineLevel="1">
      <c r="A70" s="261" t="s">
        <v>568</v>
      </c>
      <c r="B70" s="13"/>
    </row>
    <row r="71" spans="1:2" ht="12.75" customHeight="1" hidden="1" outlineLevel="1">
      <c r="A71" s="261" t="s">
        <v>569</v>
      </c>
      <c r="B71" s="13"/>
    </row>
    <row r="72" spans="1:2" ht="12.75" customHeight="1" hidden="1" outlineLevel="1">
      <c r="A72" s="261" t="s">
        <v>400</v>
      </c>
      <c r="B72" s="268">
        <f>B61+SUM(B67:B71)</f>
        <v>0</v>
      </c>
    </row>
    <row r="73" spans="1:2" ht="12.75" customHeight="1" hidden="1" outlineLevel="1">
      <c r="A73" s="261"/>
      <c r="B73" s="13"/>
    </row>
    <row r="74" spans="1:3" ht="12.75" customHeight="1" hidden="1" outlineLevel="1">
      <c r="A74" s="269" t="s">
        <v>570</v>
      </c>
      <c r="B74" s="270">
        <f>B59+B72</f>
        <v>0</v>
      </c>
      <c r="C74" s="33" t="str">
        <f>IF(ABS(B74-B88)&gt;0.1,"баланс не сходится!"," ")</f>
        <v> </v>
      </c>
    </row>
    <row r="75" spans="1:2" ht="12.75" customHeight="1" hidden="1" outlineLevel="1">
      <c r="A75" s="269"/>
      <c r="B75" s="6"/>
    </row>
    <row r="76" spans="1:2" ht="12.75" customHeight="1" hidden="1" outlineLevel="1">
      <c r="A76" s="189" t="s">
        <v>571</v>
      </c>
      <c r="B76" s="198"/>
    </row>
    <row r="77" spans="1:2" ht="12.75" customHeight="1" hidden="1" outlineLevel="1">
      <c r="A77" s="261" t="s">
        <v>572</v>
      </c>
      <c r="B77" s="13"/>
    </row>
    <row r="78" spans="1:2" ht="12.75" customHeight="1" hidden="1" outlineLevel="1">
      <c r="A78" s="189" t="s">
        <v>552</v>
      </c>
      <c r="B78" s="198"/>
    </row>
    <row r="79" spans="1:2" ht="12.75" customHeight="1" hidden="1" outlineLevel="1">
      <c r="A79" s="262" t="str">
        <f>"    "&amp;A255</f>
        <v>    Кредит 1</v>
      </c>
      <c r="B79" s="13">
        <v>0</v>
      </c>
    </row>
    <row r="80" spans="1:2" ht="12.75" customHeight="1" hidden="1" outlineLevel="1">
      <c r="A80" s="261" t="s">
        <v>400</v>
      </c>
      <c r="B80" s="268">
        <f ca="1">SUM(B79:OFFSET(B79,LOANS_NUM-1,0))</f>
        <v>0</v>
      </c>
    </row>
    <row r="81" spans="1:2" ht="12.75" customHeight="1" hidden="1" outlineLevel="1">
      <c r="A81" s="189" t="s">
        <v>573</v>
      </c>
      <c r="B81" s="199"/>
    </row>
    <row r="82" spans="1:2" ht="12.75" customHeight="1" hidden="1" outlineLevel="1">
      <c r="A82" s="261" t="s">
        <v>457</v>
      </c>
      <c r="B82" s="13"/>
    </row>
    <row r="83" spans="1:2" ht="12.75" customHeight="1" hidden="1" outlineLevel="1">
      <c r="A83" s="261" t="s">
        <v>458</v>
      </c>
      <c r="B83" s="13"/>
    </row>
    <row r="84" spans="1:2" ht="12.75" customHeight="1" hidden="1" outlineLevel="1">
      <c r="A84" s="261" t="s">
        <v>459</v>
      </c>
      <c r="B84" s="13"/>
    </row>
    <row r="85" spans="1:2" ht="12.75" customHeight="1" hidden="1" outlineLevel="1">
      <c r="A85" s="261" t="s">
        <v>460</v>
      </c>
      <c r="B85" s="13"/>
    </row>
    <row r="86" spans="1:2" ht="12.75" customHeight="1" hidden="1" outlineLevel="1">
      <c r="A86" s="261" t="s">
        <v>400</v>
      </c>
      <c r="B86" s="268">
        <f>SUM(B82:B85)</f>
        <v>0</v>
      </c>
    </row>
    <row r="87" spans="1:2" ht="12.75" customHeight="1" hidden="1" outlineLevel="1">
      <c r="A87" s="269"/>
      <c r="B87" s="34"/>
    </row>
    <row r="88" spans="1:3" ht="12.75" customHeight="1" hidden="1" outlineLevel="1">
      <c r="A88" s="269" t="s">
        <v>461</v>
      </c>
      <c r="B88" s="270">
        <f>B77+B80+B86</f>
        <v>0</v>
      </c>
      <c r="C88" s="35" t="str">
        <f>IF(ABS(B74-B88)&gt;0.1,"баланс не сходится!"," ")</f>
        <v> </v>
      </c>
    </row>
    <row r="89" ht="12.75" customHeight="1" hidden="1" outlineLevel="1"/>
    <row r="90" spans="1:15" s="10" customFormat="1" ht="12.75" customHeight="1" hidden="1" outlineLevel="1">
      <c r="A90" s="184" t="s">
        <v>462</v>
      </c>
      <c r="B90" s="194" t="str">
        <f>CURRENCY_NAME</f>
        <v>руб.</v>
      </c>
      <c r="C90" s="273" t="str">
        <f aca="true" t="shared" si="0" ref="C90:H90">C175</f>
        <v>11/2001</v>
      </c>
      <c r="D90" s="273" t="str">
        <f t="shared" si="0"/>
        <v>12/2001</v>
      </c>
      <c r="E90" s="273" t="str">
        <f t="shared" si="0"/>
        <v>1/2002</v>
      </c>
      <c r="F90" s="273" t="str">
        <f t="shared" si="0"/>
        <v>2/2002</v>
      </c>
      <c r="G90" s="273" t="str">
        <f t="shared" si="0"/>
        <v>3/2002</v>
      </c>
      <c r="H90" s="273" t="str">
        <f t="shared" si="0"/>
        <v>4/2002</v>
      </c>
      <c r="I90" s="273" t="str">
        <f aca="true" t="shared" si="1" ref="I90:O90">I175</f>
        <v>5/2002</v>
      </c>
      <c r="J90" s="273" t="str">
        <f t="shared" si="1"/>
        <v>6/2002</v>
      </c>
      <c r="K90" s="273" t="str">
        <f t="shared" si="1"/>
        <v>7/2002</v>
      </c>
      <c r="L90" s="273" t="str">
        <f t="shared" si="1"/>
        <v>8/2002</v>
      </c>
      <c r="M90" s="273" t="str">
        <f t="shared" si="1"/>
        <v>9/2002</v>
      </c>
      <c r="N90" s="273" t="str">
        <f t="shared" si="1"/>
        <v>10/2002</v>
      </c>
      <c r="O90" s="273" t="str">
        <f t="shared" si="1"/>
        <v>11/2002</v>
      </c>
    </row>
    <row r="91" spans="1:15" ht="12.75" customHeight="1" hidden="1" outlineLevel="1">
      <c r="A91" s="271" t="s">
        <v>463</v>
      </c>
      <c r="B91" s="272">
        <f ca="1">IF(SUM(C91:OFFSET(C91,0,PRJ_DURATION-1))&gt;B67,"Много!","")</f>
      </c>
      <c r="C91" s="274">
        <v>0</v>
      </c>
      <c r="D91" s="274">
        <v>0</v>
      </c>
      <c r="E91" s="274">
        <v>0</v>
      </c>
      <c r="F91" s="274">
        <v>0</v>
      </c>
      <c r="G91" s="274">
        <v>0</v>
      </c>
      <c r="H91" s="274">
        <v>0</v>
      </c>
      <c r="I91" s="274">
        <v>0</v>
      </c>
      <c r="J91" s="274">
        <v>0</v>
      </c>
      <c r="K91" s="274">
        <v>0</v>
      </c>
      <c r="L91" s="274">
        <v>0</v>
      </c>
      <c r="M91" s="274">
        <v>0</v>
      </c>
      <c r="N91" s="274">
        <v>0</v>
      </c>
      <c r="O91" s="274">
        <v>0</v>
      </c>
    </row>
    <row r="92" spans="1:15" ht="12.75" customHeight="1" hidden="1" outlineLevel="1">
      <c r="A92" s="271" t="s">
        <v>572</v>
      </c>
      <c r="B92" s="272">
        <f ca="1">IF(SUM(C92:OFFSET(C92,0,PRJ_DURATION-1))&gt;B77,"Много!","")</f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</row>
    <row r="93" ht="12.75" customHeight="1"/>
    <row r="94" spans="1:2" s="167" customFormat="1" ht="15.75" customHeight="1">
      <c r="A94" s="166" t="s">
        <v>479</v>
      </c>
      <c r="B94" s="182"/>
    </row>
    <row r="95" spans="1:2" ht="12.75" customHeight="1" outlineLevel="1">
      <c r="A95" s="12"/>
      <c r="B95" s="13"/>
    </row>
    <row r="96" spans="1:15" s="10" customFormat="1" ht="15.75" customHeight="1" outlineLevel="1">
      <c r="A96" s="332" t="s">
        <v>480</v>
      </c>
      <c r="B96" s="185"/>
      <c r="C96" s="273" t="str">
        <f aca="true" t="shared" si="2" ref="C96:H96">C124</f>
        <v>11/2001</v>
      </c>
      <c r="D96" s="273" t="str">
        <f t="shared" si="2"/>
        <v>12/2001</v>
      </c>
      <c r="E96" s="273" t="str">
        <f t="shared" si="2"/>
        <v>1/2002</v>
      </c>
      <c r="F96" s="273" t="str">
        <f t="shared" si="2"/>
        <v>2/2002</v>
      </c>
      <c r="G96" s="273" t="str">
        <f t="shared" si="2"/>
        <v>3/2002</v>
      </c>
      <c r="H96" s="273" t="str">
        <f t="shared" si="2"/>
        <v>4/2002</v>
      </c>
      <c r="I96" s="273" t="str">
        <f aca="true" t="shared" si="3" ref="I96:O96">I124</f>
        <v>5/2002</v>
      </c>
      <c r="J96" s="273" t="str">
        <f t="shared" si="3"/>
        <v>6/2002</v>
      </c>
      <c r="K96" s="273" t="str">
        <f t="shared" si="3"/>
        <v>7/2002</v>
      </c>
      <c r="L96" s="273" t="str">
        <f t="shared" si="3"/>
        <v>8/2002</v>
      </c>
      <c r="M96" s="273" t="str">
        <f t="shared" si="3"/>
        <v>9/2002</v>
      </c>
      <c r="N96" s="273" t="str">
        <f t="shared" si="3"/>
        <v>10/2002</v>
      </c>
      <c r="O96" s="273" t="str">
        <f t="shared" si="3"/>
        <v>11/2002</v>
      </c>
    </row>
    <row r="97" spans="1:15" s="10" customFormat="1" ht="15.75" customHeight="1" outlineLevel="1">
      <c r="A97" s="328" t="s">
        <v>482</v>
      </c>
      <c r="B97" s="329" t="s">
        <v>310</v>
      </c>
      <c r="C97" s="331">
        <v>0</v>
      </c>
      <c r="D97" s="331">
        <v>0</v>
      </c>
      <c r="E97" s="331">
        <v>0</v>
      </c>
      <c r="F97" s="331">
        <v>0</v>
      </c>
      <c r="G97" s="331">
        <v>0</v>
      </c>
      <c r="H97" s="331">
        <v>0</v>
      </c>
      <c r="I97" s="331">
        <v>0</v>
      </c>
      <c r="J97" s="331">
        <v>0</v>
      </c>
      <c r="K97" s="331">
        <v>0</v>
      </c>
      <c r="L97" s="331">
        <v>0</v>
      </c>
      <c r="M97" s="331">
        <v>0</v>
      </c>
      <c r="N97" s="331">
        <v>0</v>
      </c>
      <c r="O97" s="331">
        <v>0</v>
      </c>
    </row>
    <row r="98" spans="1:15" ht="12.75" customHeight="1" outlineLevel="1">
      <c r="A98" s="14"/>
      <c r="B98" s="300" t="s">
        <v>181</v>
      </c>
      <c r="C98" s="397">
        <v>0</v>
      </c>
      <c r="D98" s="397">
        <v>0</v>
      </c>
      <c r="E98" s="397">
        <v>0</v>
      </c>
      <c r="F98" s="397"/>
      <c r="G98" s="397"/>
      <c r="H98" s="397"/>
      <c r="I98" s="397"/>
      <c r="J98" s="397"/>
      <c r="K98" s="397"/>
      <c r="L98" s="397">
        <v>0</v>
      </c>
      <c r="M98" s="397">
        <v>0</v>
      </c>
      <c r="N98" s="397">
        <v>0</v>
      </c>
      <c r="O98" s="397">
        <v>0</v>
      </c>
    </row>
    <row r="99" spans="1:15" s="10" customFormat="1" ht="15.75" customHeight="1" outlineLevel="1">
      <c r="A99" s="328" t="s">
        <v>483</v>
      </c>
      <c r="B99" s="330"/>
      <c r="C99" s="331">
        <v>0</v>
      </c>
      <c r="D99" s="331">
        <v>0</v>
      </c>
      <c r="E99" s="331">
        <v>0</v>
      </c>
      <c r="F99" s="331">
        <v>0</v>
      </c>
      <c r="G99" s="331">
        <v>0</v>
      </c>
      <c r="H99" s="331">
        <v>0</v>
      </c>
      <c r="I99" s="331">
        <v>0</v>
      </c>
      <c r="J99" s="331">
        <v>0</v>
      </c>
      <c r="K99" s="331">
        <v>0</v>
      </c>
      <c r="L99" s="331">
        <v>0</v>
      </c>
      <c r="M99" s="331">
        <v>0</v>
      </c>
      <c r="N99" s="331">
        <v>0</v>
      </c>
      <c r="O99" s="331">
        <v>0</v>
      </c>
    </row>
    <row r="100" spans="1:15" ht="12.75" customHeight="1" outlineLevel="1">
      <c r="A100" s="14" t="s">
        <v>19</v>
      </c>
      <c r="B100" s="300" t="s">
        <v>181</v>
      </c>
      <c r="C100" s="397">
        <v>0</v>
      </c>
      <c r="D100" s="397">
        <v>100000</v>
      </c>
      <c r="E100" s="397"/>
      <c r="F100" s="397"/>
      <c r="G100" s="397"/>
      <c r="H100" s="397"/>
      <c r="I100" s="397">
        <v>0</v>
      </c>
      <c r="J100" s="397">
        <v>0</v>
      </c>
      <c r="K100" s="397">
        <v>0</v>
      </c>
      <c r="L100" s="397">
        <v>0</v>
      </c>
      <c r="M100" s="397">
        <v>0</v>
      </c>
      <c r="N100" s="397">
        <v>0</v>
      </c>
      <c r="O100" s="397">
        <v>0</v>
      </c>
    </row>
    <row r="101" spans="1:15" ht="12.75" customHeight="1" outlineLevel="1">
      <c r="A101" s="14"/>
      <c r="B101" s="300" t="s">
        <v>181</v>
      </c>
      <c r="C101" s="397">
        <v>0</v>
      </c>
      <c r="D101" s="397"/>
      <c r="E101" s="397"/>
      <c r="F101" s="397"/>
      <c r="G101" s="397"/>
      <c r="H101" s="397"/>
      <c r="I101" s="397">
        <v>0</v>
      </c>
      <c r="J101" s="397">
        <v>0</v>
      </c>
      <c r="K101" s="397">
        <v>0</v>
      </c>
      <c r="L101" s="397">
        <v>0</v>
      </c>
      <c r="M101" s="397">
        <v>0</v>
      </c>
      <c r="N101" s="397">
        <v>0</v>
      </c>
      <c r="O101" s="397">
        <v>0</v>
      </c>
    </row>
    <row r="102" spans="1:15" ht="12.75" customHeight="1" outlineLevel="1">
      <c r="A102" s="14"/>
      <c r="B102" s="300" t="s">
        <v>181</v>
      </c>
      <c r="C102" s="397">
        <v>0</v>
      </c>
      <c r="D102" s="397"/>
      <c r="E102" s="397"/>
      <c r="F102" s="397"/>
      <c r="G102" s="397"/>
      <c r="H102" s="397"/>
      <c r="I102" s="397">
        <v>0</v>
      </c>
      <c r="J102" s="397">
        <v>0</v>
      </c>
      <c r="K102" s="397">
        <v>0</v>
      </c>
      <c r="L102" s="397">
        <v>0</v>
      </c>
      <c r="M102" s="397">
        <v>0</v>
      </c>
      <c r="N102" s="397">
        <v>0</v>
      </c>
      <c r="O102" s="397">
        <v>0</v>
      </c>
    </row>
    <row r="103" spans="1:15" ht="12.75" customHeight="1" outlineLevel="1">
      <c r="A103" s="14"/>
      <c r="B103" s="300" t="s">
        <v>181</v>
      </c>
      <c r="C103" s="397">
        <v>0</v>
      </c>
      <c r="D103" s="397"/>
      <c r="E103" s="397"/>
      <c r="F103" s="397"/>
      <c r="G103" s="397"/>
      <c r="H103" s="397"/>
      <c r="I103" s="397">
        <v>0</v>
      </c>
      <c r="J103" s="397">
        <v>0</v>
      </c>
      <c r="K103" s="397">
        <v>0</v>
      </c>
      <c r="L103" s="397">
        <v>0</v>
      </c>
      <c r="M103" s="397">
        <v>0</v>
      </c>
      <c r="N103" s="397">
        <v>0</v>
      </c>
      <c r="O103" s="397">
        <v>0</v>
      </c>
    </row>
    <row r="104" spans="1:15" s="10" customFormat="1" ht="15.75" customHeight="1" outlineLevel="1">
      <c r="A104" s="328" t="s">
        <v>484</v>
      </c>
      <c r="B104" s="330"/>
      <c r="C104" s="331">
        <v>0</v>
      </c>
      <c r="D104" s="331">
        <v>0</v>
      </c>
      <c r="E104" s="331">
        <v>0</v>
      </c>
      <c r="F104" s="331">
        <v>0</v>
      </c>
      <c r="G104" s="331">
        <v>0</v>
      </c>
      <c r="H104" s="331">
        <v>0</v>
      </c>
      <c r="I104" s="331">
        <v>0</v>
      </c>
      <c r="J104" s="331">
        <v>0</v>
      </c>
      <c r="K104" s="331">
        <v>0</v>
      </c>
      <c r="L104" s="331">
        <v>0</v>
      </c>
      <c r="M104" s="331">
        <v>0</v>
      </c>
      <c r="N104" s="331">
        <v>0</v>
      </c>
      <c r="O104" s="331">
        <v>0</v>
      </c>
    </row>
    <row r="105" spans="1:15" ht="12.75" customHeight="1" outlineLevel="1">
      <c r="A105" s="14" t="s">
        <v>176</v>
      </c>
      <c r="B105" s="300" t="s">
        <v>181</v>
      </c>
      <c r="C105" s="397">
        <v>0</v>
      </c>
      <c r="D105" s="397">
        <v>0</v>
      </c>
      <c r="E105" s="397">
        <v>0</v>
      </c>
      <c r="F105" s="397">
        <v>0</v>
      </c>
      <c r="G105" s="397">
        <v>0</v>
      </c>
      <c r="H105" s="397">
        <v>0</v>
      </c>
      <c r="I105" s="397">
        <v>0</v>
      </c>
      <c r="J105" s="397">
        <v>0</v>
      </c>
      <c r="K105" s="397">
        <v>0</v>
      </c>
      <c r="L105" s="397">
        <v>0</v>
      </c>
      <c r="M105" s="397">
        <v>0</v>
      </c>
      <c r="N105" s="397">
        <v>0</v>
      </c>
      <c r="O105" s="397">
        <v>0</v>
      </c>
    </row>
    <row r="106" spans="1:15" ht="12.75" customHeight="1" outlineLevel="1">
      <c r="A106" s="14" t="s">
        <v>176</v>
      </c>
      <c r="B106" s="300" t="s">
        <v>181</v>
      </c>
      <c r="C106" s="397">
        <v>0</v>
      </c>
      <c r="D106" s="397">
        <v>0</v>
      </c>
      <c r="E106" s="397">
        <v>0</v>
      </c>
      <c r="F106" s="397">
        <v>0</v>
      </c>
      <c r="G106" s="397">
        <v>0</v>
      </c>
      <c r="H106" s="397">
        <v>0</v>
      </c>
      <c r="I106" s="397">
        <v>0</v>
      </c>
      <c r="J106" s="397">
        <v>0</v>
      </c>
      <c r="K106" s="397">
        <v>0</v>
      </c>
      <c r="L106" s="397">
        <v>0</v>
      </c>
      <c r="M106" s="397">
        <v>0</v>
      </c>
      <c r="N106" s="397">
        <v>0</v>
      </c>
      <c r="O106" s="397">
        <v>0</v>
      </c>
    </row>
    <row r="107" spans="1:15" s="10" customFormat="1" ht="15.75" customHeight="1" outlineLevel="1">
      <c r="A107" s="328" t="s">
        <v>485</v>
      </c>
      <c r="B107" s="330"/>
      <c r="C107" s="331">
        <v>0</v>
      </c>
      <c r="D107" s="331">
        <v>0</v>
      </c>
      <c r="E107" s="331">
        <v>0</v>
      </c>
      <c r="F107" s="331">
        <v>0</v>
      </c>
      <c r="G107" s="331">
        <v>0</v>
      </c>
      <c r="H107" s="331">
        <v>0</v>
      </c>
      <c r="I107" s="331">
        <v>0</v>
      </c>
      <c r="J107" s="331">
        <v>0</v>
      </c>
      <c r="K107" s="331">
        <v>0</v>
      </c>
      <c r="L107" s="331">
        <v>0</v>
      </c>
      <c r="M107" s="331">
        <v>0</v>
      </c>
      <c r="N107" s="331">
        <v>0</v>
      </c>
      <c r="O107" s="331">
        <v>0</v>
      </c>
    </row>
    <row r="108" spans="1:15" ht="12.75" customHeight="1" outlineLevel="1">
      <c r="A108" s="14" t="s">
        <v>292</v>
      </c>
      <c r="B108" s="300" t="s">
        <v>181</v>
      </c>
      <c r="C108" s="397">
        <v>0</v>
      </c>
      <c r="D108" s="397">
        <v>60000</v>
      </c>
      <c r="E108" s="397"/>
      <c r="F108" s="397"/>
      <c r="G108" s="397"/>
      <c r="H108" s="397"/>
      <c r="I108" s="397">
        <v>0</v>
      </c>
      <c r="J108" s="397">
        <v>0</v>
      </c>
      <c r="K108" s="397">
        <v>0</v>
      </c>
      <c r="L108" s="397">
        <v>0</v>
      </c>
      <c r="M108" s="397">
        <v>0</v>
      </c>
      <c r="N108" s="397">
        <v>0</v>
      </c>
      <c r="O108" s="397">
        <v>0</v>
      </c>
    </row>
    <row r="109" spans="1:15" ht="12.75" customHeight="1" outlineLevel="1">
      <c r="A109" s="14" t="s">
        <v>485</v>
      </c>
      <c r="B109" s="300" t="s">
        <v>181</v>
      </c>
      <c r="C109" s="397">
        <v>0</v>
      </c>
      <c r="D109" s="397"/>
      <c r="E109" s="397"/>
      <c r="F109" s="397"/>
      <c r="G109" s="397"/>
      <c r="H109" s="397"/>
      <c r="I109" s="397">
        <v>0</v>
      </c>
      <c r="J109" s="397">
        <v>0</v>
      </c>
      <c r="K109" s="397">
        <v>0</v>
      </c>
      <c r="L109" s="397">
        <v>0</v>
      </c>
      <c r="M109" s="397">
        <v>0</v>
      </c>
      <c r="N109" s="397">
        <v>0</v>
      </c>
      <c r="O109" s="397">
        <v>0</v>
      </c>
    </row>
    <row r="110" spans="1:15" ht="12.75" customHeight="1" outlineLevel="1">
      <c r="A110" s="14" t="s">
        <v>16</v>
      </c>
      <c r="B110" s="300" t="s">
        <v>181</v>
      </c>
      <c r="C110" s="397">
        <v>0</v>
      </c>
      <c r="D110" s="397"/>
      <c r="E110" s="397"/>
      <c r="F110" s="397"/>
      <c r="G110" s="397"/>
      <c r="H110" s="397"/>
      <c r="I110" s="397">
        <v>0</v>
      </c>
      <c r="J110" s="397">
        <v>0</v>
      </c>
      <c r="K110" s="397">
        <v>0</v>
      </c>
      <c r="L110" s="397">
        <v>0</v>
      </c>
      <c r="M110" s="397">
        <v>0</v>
      </c>
      <c r="N110" s="397">
        <v>0</v>
      </c>
      <c r="O110" s="397">
        <v>0</v>
      </c>
    </row>
    <row r="111" spans="1:15" ht="12.75" customHeight="1" outlineLevel="1">
      <c r="A111" s="14" t="s">
        <v>17</v>
      </c>
      <c r="B111" s="300" t="s">
        <v>181</v>
      </c>
      <c r="C111" s="397">
        <v>0</v>
      </c>
      <c r="D111" s="397">
        <v>0</v>
      </c>
      <c r="E111" s="397">
        <v>0</v>
      </c>
      <c r="F111" s="397">
        <v>0</v>
      </c>
      <c r="G111" s="397">
        <v>0</v>
      </c>
      <c r="H111" s="397">
        <v>0</v>
      </c>
      <c r="I111" s="397">
        <v>0</v>
      </c>
      <c r="J111" s="397">
        <v>0</v>
      </c>
      <c r="K111" s="397">
        <v>0</v>
      </c>
      <c r="L111" s="397">
        <v>0</v>
      </c>
      <c r="M111" s="397">
        <v>0</v>
      </c>
      <c r="N111" s="397">
        <v>0</v>
      </c>
      <c r="O111" s="397">
        <v>0</v>
      </c>
    </row>
    <row r="112" spans="1:15" ht="12.75" customHeight="1" outlineLevel="1">
      <c r="A112" s="14" t="s">
        <v>18</v>
      </c>
      <c r="B112" s="300" t="s">
        <v>181</v>
      </c>
      <c r="C112" s="397">
        <v>0</v>
      </c>
      <c r="D112" s="397">
        <v>0</v>
      </c>
      <c r="E112" s="397">
        <v>0</v>
      </c>
      <c r="F112" s="397">
        <v>0</v>
      </c>
      <c r="G112" s="397">
        <v>0</v>
      </c>
      <c r="H112" s="397">
        <v>0</v>
      </c>
      <c r="I112" s="397">
        <v>0</v>
      </c>
      <c r="J112" s="397">
        <v>0</v>
      </c>
      <c r="K112" s="397">
        <v>0</v>
      </c>
      <c r="L112" s="397">
        <v>0</v>
      </c>
      <c r="M112" s="397">
        <v>0</v>
      </c>
      <c r="N112" s="397">
        <v>0</v>
      </c>
      <c r="O112" s="397">
        <v>0</v>
      </c>
    </row>
    <row r="113" spans="1:15" s="10" customFormat="1" ht="15.75" customHeight="1" outlineLevel="1">
      <c r="A113" s="328" t="s">
        <v>486</v>
      </c>
      <c r="B113" s="330"/>
      <c r="C113" s="331">
        <v>0</v>
      </c>
      <c r="D113" s="331">
        <v>0</v>
      </c>
      <c r="E113" s="331">
        <v>0</v>
      </c>
      <c r="F113" s="331">
        <v>0</v>
      </c>
      <c r="G113" s="331">
        <v>0</v>
      </c>
      <c r="H113" s="331">
        <v>0</v>
      </c>
      <c r="I113" s="331">
        <v>0</v>
      </c>
      <c r="J113" s="331">
        <v>0</v>
      </c>
      <c r="K113" s="331">
        <v>0</v>
      </c>
      <c r="L113" s="331">
        <v>0</v>
      </c>
      <c r="M113" s="331">
        <v>0</v>
      </c>
      <c r="N113" s="331">
        <v>0</v>
      </c>
      <c r="O113" s="331">
        <v>0</v>
      </c>
    </row>
    <row r="114" spans="1:15" ht="12.75" customHeight="1" outlineLevel="1">
      <c r="A114" s="14" t="s">
        <v>21</v>
      </c>
      <c r="B114" s="300" t="s">
        <v>181</v>
      </c>
      <c r="C114" s="397">
        <v>0</v>
      </c>
      <c r="D114" s="397">
        <v>100000</v>
      </c>
      <c r="E114" s="397"/>
      <c r="F114" s="397"/>
      <c r="G114" s="397"/>
      <c r="H114" s="397"/>
      <c r="I114" s="397"/>
      <c r="J114" s="397">
        <v>0</v>
      </c>
      <c r="K114" s="397">
        <v>0</v>
      </c>
      <c r="L114" s="397">
        <v>0</v>
      </c>
      <c r="M114" s="397">
        <v>0</v>
      </c>
      <c r="N114" s="397">
        <v>0</v>
      </c>
      <c r="O114" s="397">
        <v>0</v>
      </c>
    </row>
    <row r="115" spans="1:15" ht="12.75" customHeight="1" outlineLevel="1">
      <c r="A115" s="14" t="s">
        <v>22</v>
      </c>
      <c r="B115" s="300" t="s">
        <v>181</v>
      </c>
      <c r="C115" s="397">
        <v>0</v>
      </c>
      <c r="D115" s="397">
        <v>50000</v>
      </c>
      <c r="E115" s="397"/>
      <c r="F115" s="397"/>
      <c r="G115" s="397"/>
      <c r="H115" s="397"/>
      <c r="I115" s="397"/>
      <c r="J115" s="397">
        <v>0</v>
      </c>
      <c r="K115" s="397">
        <v>0</v>
      </c>
      <c r="L115" s="397">
        <v>0</v>
      </c>
      <c r="M115" s="397">
        <v>0</v>
      </c>
      <c r="N115" s="397">
        <v>0</v>
      </c>
      <c r="O115" s="397">
        <v>0</v>
      </c>
    </row>
    <row r="116" spans="1:15" ht="12.75" customHeight="1" outlineLevel="1">
      <c r="A116" s="14" t="s">
        <v>23</v>
      </c>
      <c r="B116" s="300" t="s">
        <v>181</v>
      </c>
      <c r="C116" s="397">
        <v>0</v>
      </c>
      <c r="D116" s="397">
        <v>100000</v>
      </c>
      <c r="E116" s="397"/>
      <c r="F116" s="397"/>
      <c r="G116" s="397"/>
      <c r="H116" s="397"/>
      <c r="I116" s="397"/>
      <c r="J116" s="397">
        <v>0</v>
      </c>
      <c r="K116" s="397">
        <v>0</v>
      </c>
      <c r="L116" s="397">
        <v>0</v>
      </c>
      <c r="M116" s="397">
        <v>0</v>
      </c>
      <c r="N116" s="397">
        <v>0</v>
      </c>
      <c r="O116" s="397">
        <v>0</v>
      </c>
    </row>
    <row r="117" spans="1:15" ht="12.75" customHeight="1" outlineLevel="1">
      <c r="A117" s="14"/>
      <c r="B117" s="300" t="s">
        <v>181</v>
      </c>
      <c r="C117" s="397">
        <v>0</v>
      </c>
      <c r="D117" s="397">
        <v>0</v>
      </c>
      <c r="E117" s="397"/>
      <c r="F117" s="397"/>
      <c r="G117" s="397"/>
      <c r="H117" s="397"/>
      <c r="I117" s="397"/>
      <c r="J117" s="397">
        <v>0</v>
      </c>
      <c r="K117" s="397">
        <v>0</v>
      </c>
      <c r="L117" s="397">
        <v>0</v>
      </c>
      <c r="M117" s="397">
        <v>0</v>
      </c>
      <c r="N117" s="397">
        <v>0</v>
      </c>
      <c r="O117" s="397">
        <v>0</v>
      </c>
    </row>
    <row r="118" spans="1:15" ht="12.75" customHeight="1" outlineLevel="1">
      <c r="A118" s="269" t="s">
        <v>487</v>
      </c>
      <c r="B118" s="327"/>
      <c r="C118" s="354">
        <f>SUM(C97:INDEX(C:C,ROW()-1,1))</f>
        <v>0</v>
      </c>
      <c r="D118" s="354">
        <f>SUM(D97:INDEX(D:D,ROW()-1,1))</f>
        <v>410000</v>
      </c>
      <c r="E118" s="354">
        <f>SUM(E97:INDEX(E:E,ROW()-1,1))</f>
        <v>0</v>
      </c>
      <c r="F118" s="354">
        <f>SUM(F97:INDEX(F:F,ROW()-1,1))</f>
        <v>0</v>
      </c>
      <c r="G118" s="354">
        <f>SUM(G97:INDEX(G:G,ROW()-1,1))</f>
        <v>0</v>
      </c>
      <c r="H118" s="354">
        <f>SUM(H97:INDEX(H:H,ROW()-1,1))</f>
        <v>0</v>
      </c>
      <c r="I118" s="354">
        <f>SUM(I97:INDEX(I:I,ROW()-1,1))</f>
        <v>0</v>
      </c>
      <c r="J118" s="354">
        <f>SUM(J97:INDEX(J:J,ROW()-1,1))</f>
        <v>0</v>
      </c>
      <c r="K118" s="354">
        <f>SUM(K97:INDEX(K:K,ROW()-1,1))</f>
        <v>0</v>
      </c>
      <c r="L118" s="354">
        <f>SUM(L97:INDEX(L:L,ROW()-1,1))</f>
        <v>0</v>
      </c>
      <c r="M118" s="354">
        <f>SUM(M97:INDEX(M:M,ROW()-1,1))</f>
        <v>0</v>
      </c>
      <c r="N118" s="354">
        <f>SUM(N97:INDEX(N:N,ROW()-1,1))</f>
        <v>0</v>
      </c>
      <c r="O118" s="354">
        <f>SUM(O97:INDEX(O:O,ROW()-1,1))</f>
        <v>0</v>
      </c>
    </row>
    <row r="119" spans="2:15" ht="12.75" customHeight="1" outlineLevel="1"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ht="12.75" customHeight="1" outlineLevel="1">
      <c r="A120" s="189" t="s">
        <v>491</v>
      </c>
      <c r="B120" s="190"/>
      <c r="C120" s="397">
        <v>0</v>
      </c>
      <c r="D120" s="397"/>
      <c r="E120" s="397"/>
      <c r="F120" s="397"/>
      <c r="G120" s="397"/>
      <c r="H120" s="397"/>
      <c r="I120" s="397">
        <v>0</v>
      </c>
      <c r="J120" s="397">
        <v>0</v>
      </c>
      <c r="K120" s="397">
        <v>0</v>
      </c>
      <c r="L120" s="397">
        <v>0</v>
      </c>
      <c r="M120" s="397">
        <v>0</v>
      </c>
      <c r="N120" s="397">
        <v>0</v>
      </c>
      <c r="O120" s="397">
        <v>0</v>
      </c>
    </row>
    <row r="121" ht="12.75" customHeight="1"/>
    <row r="122" spans="1:10" s="167" customFormat="1" ht="15.75" customHeight="1">
      <c r="A122" s="166" t="s">
        <v>492</v>
      </c>
      <c r="B122" s="182"/>
      <c r="F122" s="167" t="s">
        <v>287</v>
      </c>
      <c r="G122" s="167" t="s">
        <v>288</v>
      </c>
      <c r="H122" s="167" t="s">
        <v>289</v>
      </c>
      <c r="I122" s="167" t="s">
        <v>290</v>
      </c>
      <c r="J122" s="167" t="s">
        <v>291</v>
      </c>
    </row>
    <row r="123" ht="12.75" customHeight="1" outlineLevel="1">
      <c r="B123" s="19"/>
    </row>
    <row r="124" spans="1:15" s="10" customFormat="1" ht="15.75" customHeight="1" outlineLevel="1">
      <c r="A124" s="191" t="s">
        <v>493</v>
      </c>
      <c r="B124" s="309" t="s">
        <v>494</v>
      </c>
      <c r="C124" s="309" t="str">
        <f>Расчеты!B3</f>
        <v>11/2001</v>
      </c>
      <c r="D124" s="309" t="str">
        <f>Расчеты!C3</f>
        <v>12/2001</v>
      </c>
      <c r="E124" s="309" t="str">
        <f>Расчеты!D3</f>
        <v>1/2002</v>
      </c>
      <c r="F124" s="309" t="str">
        <f>Расчеты!E3</f>
        <v>2/2002</v>
      </c>
      <c r="G124" s="309" t="str">
        <f>Расчеты!F3</f>
        <v>3/2002</v>
      </c>
      <c r="H124" s="309" t="str">
        <f>Расчеты!G3</f>
        <v>4/2002</v>
      </c>
      <c r="I124" s="309" t="str">
        <f>Расчеты!H3</f>
        <v>5/2002</v>
      </c>
      <c r="J124" s="309" t="str">
        <f>Расчеты!I3</f>
        <v>6/2002</v>
      </c>
      <c r="K124" s="309" t="str">
        <f>Расчеты!J3</f>
        <v>7/2002</v>
      </c>
      <c r="L124" s="309" t="str">
        <f>Расчеты!K3</f>
        <v>8/2002</v>
      </c>
      <c r="M124" s="309" t="str">
        <f>Расчеты!L3</f>
        <v>9/2002</v>
      </c>
      <c r="N124" s="309" t="str">
        <f>Расчеты!M3</f>
        <v>10/2002</v>
      </c>
      <c r="O124" s="309" t="str">
        <f>Расчеты!N3</f>
        <v>11/2002</v>
      </c>
    </row>
    <row r="125" spans="1:15" ht="12.75" customHeight="1" outlineLevel="1">
      <c r="A125" s="308" t="str">
        <f>A13</f>
        <v>Имиджевая реклама на канале INDARAP</v>
      </c>
      <c r="B125" s="310" t="str">
        <f>"в "&amp;B13</f>
        <v>в шт.</v>
      </c>
      <c r="C125" s="398">
        <v>0</v>
      </c>
      <c r="D125" s="398">
        <v>0</v>
      </c>
      <c r="E125" s="398">
        <v>1000</v>
      </c>
      <c r="F125" s="31">
        <v>2000</v>
      </c>
      <c r="G125" s="31">
        <v>2000</v>
      </c>
      <c r="H125" s="31">
        <v>2000</v>
      </c>
      <c r="I125" s="31">
        <v>2000</v>
      </c>
      <c r="J125" s="31">
        <v>2000</v>
      </c>
      <c r="K125" s="31">
        <v>2000</v>
      </c>
      <c r="L125" s="31">
        <v>2000</v>
      </c>
      <c r="M125" s="31">
        <v>2000</v>
      </c>
      <c r="N125" s="31">
        <v>2000</v>
      </c>
      <c r="O125" s="31">
        <v>2000</v>
      </c>
    </row>
    <row r="126" spans="1:15" ht="12.75" customHeight="1" outlineLevel="1">
      <c r="A126" s="308" t="str">
        <f>A14</f>
        <v>Платная регистрация на канале INDARAP "Клетка"</v>
      </c>
      <c r="B126" s="311" t="str">
        <f>"в "&amp;B14</f>
        <v>в шт.</v>
      </c>
      <c r="C126" s="398">
        <v>0</v>
      </c>
      <c r="D126" s="398"/>
      <c r="E126" s="398">
        <v>1000</v>
      </c>
      <c r="F126" s="398">
        <v>10000</v>
      </c>
      <c r="G126" s="398">
        <v>30000</v>
      </c>
      <c r="H126" s="398">
        <v>50000</v>
      </c>
      <c r="I126" s="398">
        <v>60000</v>
      </c>
      <c r="J126" s="398">
        <v>60000</v>
      </c>
      <c r="K126" s="398">
        <v>40000</v>
      </c>
      <c r="L126" s="398">
        <v>40000</v>
      </c>
      <c r="M126" s="398">
        <v>80000</v>
      </c>
      <c r="N126" s="398">
        <v>100000</v>
      </c>
      <c r="O126" s="398">
        <v>100000</v>
      </c>
    </row>
    <row r="127" spans="1:15" ht="12.75" customHeight="1" outlineLevel="1">
      <c r="A127" s="308" t="str">
        <f>A15</f>
        <v>СМС голосование за участников проекта "Клетка"</v>
      </c>
      <c r="B127" s="311" t="str">
        <f>"в "&amp;B15</f>
        <v>в шт.</v>
      </c>
      <c r="C127" s="398">
        <v>0</v>
      </c>
      <c r="D127" s="398">
        <v>0</v>
      </c>
      <c r="E127" s="398">
        <v>5000</v>
      </c>
      <c r="F127" s="398">
        <v>5000</v>
      </c>
      <c r="G127" s="398">
        <v>5000</v>
      </c>
      <c r="H127" s="398">
        <v>5000</v>
      </c>
      <c r="I127" s="398">
        <v>5000</v>
      </c>
      <c r="J127" s="398">
        <v>5000</v>
      </c>
      <c r="K127" s="398">
        <v>5000</v>
      </c>
      <c r="L127" s="398">
        <v>5000</v>
      </c>
      <c r="M127" s="398">
        <v>5000</v>
      </c>
      <c r="N127" s="398">
        <v>5000</v>
      </c>
      <c r="O127" s="398">
        <v>5000</v>
      </c>
    </row>
    <row r="128" spans="1:15" ht="12.75" customHeight="1" outlineLevel="1">
      <c r="A128" s="308" t="str">
        <f>A16</f>
        <v>Спецпроекты рекламодателей (концерты, шоу…)</v>
      </c>
      <c r="B128" s="311" t="str">
        <f>"в "&amp;B16</f>
        <v>в шт.</v>
      </c>
      <c r="C128" s="398">
        <v>0</v>
      </c>
      <c r="D128" s="398">
        <v>0</v>
      </c>
      <c r="E128" s="398">
        <v>2</v>
      </c>
      <c r="F128" s="398">
        <v>3</v>
      </c>
      <c r="G128" s="398">
        <v>4</v>
      </c>
      <c r="H128" s="398">
        <v>4</v>
      </c>
      <c r="I128" s="398">
        <v>4</v>
      </c>
      <c r="J128" s="398">
        <v>4</v>
      </c>
      <c r="K128" s="398">
        <v>4</v>
      </c>
      <c r="L128" s="398">
        <v>4</v>
      </c>
      <c r="M128" s="398">
        <v>4</v>
      </c>
      <c r="N128" s="398">
        <v>4</v>
      </c>
      <c r="O128" s="398">
        <v>4</v>
      </c>
    </row>
    <row r="129" spans="1:15" ht="12.75" customHeight="1" outlineLevel="1">
      <c r="A129" s="308" t="str">
        <f>A17</f>
        <v>Продакт плэйсмент в шоу "Клетка"</v>
      </c>
      <c r="B129" s="311" t="str">
        <f>"в "&amp;B17</f>
        <v>в шт.</v>
      </c>
      <c r="C129" s="398">
        <v>0</v>
      </c>
      <c r="D129" s="398">
        <v>0</v>
      </c>
      <c r="E129" s="398">
        <v>5</v>
      </c>
      <c r="F129" s="398">
        <v>5</v>
      </c>
      <c r="G129" s="398">
        <v>5</v>
      </c>
      <c r="H129" s="398">
        <v>5</v>
      </c>
      <c r="I129" s="398">
        <v>5</v>
      </c>
      <c r="J129" s="398">
        <v>5</v>
      </c>
      <c r="K129" s="398">
        <v>5</v>
      </c>
      <c r="L129" s="398">
        <v>5</v>
      </c>
      <c r="M129" s="398">
        <v>5</v>
      </c>
      <c r="N129" s="398">
        <v>5</v>
      </c>
      <c r="O129" s="398">
        <v>5</v>
      </c>
    </row>
    <row r="130" spans="2:15" ht="12.75" customHeight="1" outlineLevel="1"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10" customFormat="1" ht="15.75" customHeight="1" outlineLevel="1">
      <c r="A131" s="192" t="s">
        <v>524</v>
      </c>
      <c r="B131" s="309" t="s">
        <v>310</v>
      </c>
      <c r="C131" s="309" t="str">
        <f aca="true" t="shared" si="4" ref="C131:H131">C124</f>
        <v>11/2001</v>
      </c>
      <c r="D131" s="309" t="str">
        <f t="shared" si="4"/>
        <v>12/2001</v>
      </c>
      <c r="E131" s="309" t="str">
        <f t="shared" si="4"/>
        <v>1/2002</v>
      </c>
      <c r="F131" s="309" t="str">
        <f t="shared" si="4"/>
        <v>2/2002</v>
      </c>
      <c r="G131" s="309" t="str">
        <f t="shared" si="4"/>
        <v>3/2002</v>
      </c>
      <c r="H131" s="309" t="str">
        <f t="shared" si="4"/>
        <v>4/2002</v>
      </c>
      <c r="I131" s="309" t="str">
        <f aca="true" t="shared" si="5" ref="I131:O131">I124</f>
        <v>5/2002</v>
      </c>
      <c r="J131" s="309" t="str">
        <f t="shared" si="5"/>
        <v>6/2002</v>
      </c>
      <c r="K131" s="309" t="str">
        <f t="shared" si="5"/>
        <v>7/2002</v>
      </c>
      <c r="L131" s="309" t="str">
        <f t="shared" si="5"/>
        <v>8/2002</v>
      </c>
      <c r="M131" s="309" t="str">
        <f t="shared" si="5"/>
        <v>9/2002</v>
      </c>
      <c r="N131" s="309" t="str">
        <f t="shared" si="5"/>
        <v>10/2002</v>
      </c>
      <c r="O131" s="309" t="str">
        <f t="shared" si="5"/>
        <v>11/2002</v>
      </c>
    </row>
    <row r="132" spans="1:15" ht="12.75" customHeight="1" outlineLevel="1">
      <c r="A132" s="308" t="str">
        <f>A13</f>
        <v>Имиджевая реклама на канале INDARAP</v>
      </c>
      <c r="B132" s="313" t="s">
        <v>167</v>
      </c>
      <c r="C132" s="407"/>
      <c r="D132" s="407"/>
      <c r="E132" s="407">
        <v>270</v>
      </c>
      <c r="F132" s="407">
        <v>270</v>
      </c>
      <c r="G132" s="407">
        <v>270</v>
      </c>
      <c r="H132" s="407">
        <v>270</v>
      </c>
      <c r="I132" s="407">
        <v>270</v>
      </c>
      <c r="J132" s="407">
        <v>270</v>
      </c>
      <c r="K132" s="407">
        <v>270</v>
      </c>
      <c r="L132" s="407">
        <v>270</v>
      </c>
      <c r="M132" s="407">
        <v>270</v>
      </c>
      <c r="N132" s="407">
        <v>270</v>
      </c>
      <c r="O132" s="407">
        <v>270</v>
      </c>
    </row>
    <row r="133" spans="1:15" ht="12.75" customHeight="1" outlineLevel="1">
      <c r="A133" s="308" t="str">
        <f>A14</f>
        <v>Платная регистрация на канале INDARAP "Клетка"</v>
      </c>
      <c r="B133" s="314" t="s">
        <v>181</v>
      </c>
      <c r="C133" s="407"/>
      <c r="D133" s="407"/>
      <c r="E133" s="407">
        <v>10</v>
      </c>
      <c r="F133" s="407">
        <v>30</v>
      </c>
      <c r="G133" s="407">
        <v>30</v>
      </c>
      <c r="H133" s="407">
        <v>30</v>
      </c>
      <c r="I133" s="407">
        <v>30</v>
      </c>
      <c r="J133" s="407">
        <v>30</v>
      </c>
      <c r="K133" s="407">
        <v>30</v>
      </c>
      <c r="L133" s="407">
        <v>30</v>
      </c>
      <c r="M133" s="407">
        <v>30</v>
      </c>
      <c r="N133" s="407">
        <v>30</v>
      </c>
      <c r="O133" s="407">
        <v>30</v>
      </c>
    </row>
    <row r="134" spans="1:15" ht="12.75" customHeight="1" outlineLevel="1">
      <c r="A134" s="308" t="str">
        <f>A15</f>
        <v>СМС голосование за участников проекта "Клетка"</v>
      </c>
      <c r="B134" s="314" t="s">
        <v>181</v>
      </c>
      <c r="C134" s="407"/>
      <c r="D134" s="407"/>
      <c r="E134" s="407">
        <v>8</v>
      </c>
      <c r="F134" s="407">
        <v>8</v>
      </c>
      <c r="G134" s="407">
        <v>8</v>
      </c>
      <c r="H134" s="407">
        <v>8</v>
      </c>
      <c r="I134" s="407">
        <v>8</v>
      </c>
      <c r="J134" s="407">
        <v>8</v>
      </c>
      <c r="K134" s="407">
        <v>8</v>
      </c>
      <c r="L134" s="407">
        <v>8</v>
      </c>
      <c r="M134" s="407">
        <v>8</v>
      </c>
      <c r="N134" s="407">
        <v>8</v>
      </c>
      <c r="O134" s="407">
        <v>8</v>
      </c>
    </row>
    <row r="135" spans="1:17" ht="12.75" customHeight="1" outlineLevel="1">
      <c r="A135" s="308" t="str">
        <f>A16</f>
        <v>Спецпроекты рекламодателей (концерты, шоу…)</v>
      </c>
      <c r="B135" s="314" t="s">
        <v>181</v>
      </c>
      <c r="C135" s="407"/>
      <c r="D135" s="407"/>
      <c r="E135" s="407">
        <v>20000</v>
      </c>
      <c r="F135" s="407">
        <v>20000</v>
      </c>
      <c r="G135" s="407">
        <v>20000</v>
      </c>
      <c r="H135" s="407">
        <v>100000</v>
      </c>
      <c r="I135" s="407">
        <v>100000</v>
      </c>
      <c r="J135" s="407">
        <v>100000</v>
      </c>
      <c r="K135" s="407">
        <v>100000</v>
      </c>
      <c r="L135" s="407">
        <v>100000</v>
      </c>
      <c r="M135" s="407">
        <v>100000</v>
      </c>
      <c r="N135" s="407">
        <v>100000</v>
      </c>
      <c r="O135" s="407">
        <v>100000</v>
      </c>
      <c r="P135" s="408"/>
      <c r="Q135" s="6"/>
    </row>
    <row r="136" spans="1:17" ht="12.75" customHeight="1" outlineLevel="1">
      <c r="A136" s="308" t="str">
        <f>A17</f>
        <v>Продакт плэйсмент в шоу "Клетка"</v>
      </c>
      <c r="B136" s="314" t="s">
        <v>181</v>
      </c>
      <c r="C136" s="407"/>
      <c r="D136" s="407"/>
      <c r="E136" s="407">
        <v>10000</v>
      </c>
      <c r="F136" s="407">
        <v>10000</v>
      </c>
      <c r="G136" s="407">
        <v>20000</v>
      </c>
      <c r="H136" s="407">
        <v>20000</v>
      </c>
      <c r="I136" s="407">
        <v>20000</v>
      </c>
      <c r="J136" s="407">
        <v>20000</v>
      </c>
      <c r="K136" s="407">
        <v>20000</v>
      </c>
      <c r="L136" s="407">
        <v>20000</v>
      </c>
      <c r="M136" s="407">
        <v>20000</v>
      </c>
      <c r="N136" s="407">
        <v>20000</v>
      </c>
      <c r="O136" s="407">
        <v>20000</v>
      </c>
      <c r="P136" s="408"/>
      <c r="Q136" s="6"/>
    </row>
    <row r="137" spans="1:17" ht="12.75" customHeight="1" outlineLevel="1">
      <c r="A137" s="6"/>
      <c r="B137" s="316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6"/>
      <c r="Q137" s="6"/>
    </row>
    <row r="138" spans="1:15" s="10" customFormat="1" ht="15.75" customHeight="1" outlineLevel="1">
      <c r="A138" s="184" t="s">
        <v>525</v>
      </c>
      <c r="B138" s="273" t="s">
        <v>310</v>
      </c>
      <c r="C138" s="273" t="str">
        <f aca="true" t="shared" si="6" ref="C138:H138">C124</f>
        <v>11/2001</v>
      </c>
      <c r="D138" s="273" t="str">
        <f t="shared" si="6"/>
        <v>12/2001</v>
      </c>
      <c r="E138" s="273" t="str">
        <f t="shared" si="6"/>
        <v>1/2002</v>
      </c>
      <c r="F138" s="273" t="str">
        <f t="shared" si="6"/>
        <v>2/2002</v>
      </c>
      <c r="G138" s="273" t="str">
        <f t="shared" si="6"/>
        <v>3/2002</v>
      </c>
      <c r="H138" s="273" t="str">
        <f t="shared" si="6"/>
        <v>4/2002</v>
      </c>
      <c r="I138" s="273" t="str">
        <f aca="true" t="shared" si="7" ref="I138:O138">I124</f>
        <v>5/2002</v>
      </c>
      <c r="J138" s="273" t="str">
        <f t="shared" si="7"/>
        <v>6/2002</v>
      </c>
      <c r="K138" s="273" t="str">
        <f t="shared" si="7"/>
        <v>7/2002</v>
      </c>
      <c r="L138" s="273" t="str">
        <f t="shared" si="7"/>
        <v>8/2002</v>
      </c>
      <c r="M138" s="273" t="str">
        <f t="shared" si="7"/>
        <v>9/2002</v>
      </c>
      <c r="N138" s="273" t="str">
        <f t="shared" si="7"/>
        <v>10/2002</v>
      </c>
      <c r="O138" s="273" t="str">
        <f t="shared" si="7"/>
        <v>11/2002</v>
      </c>
    </row>
    <row r="139" spans="1:15" ht="12.75" customHeight="1" outlineLevel="1">
      <c r="A139" s="308" t="str">
        <f>A13</f>
        <v>Имиджевая реклама на канале INDARAP</v>
      </c>
      <c r="B139" s="313" t="s">
        <v>167</v>
      </c>
      <c r="C139" s="407"/>
      <c r="D139" s="407"/>
      <c r="E139" s="407"/>
      <c r="F139" s="407"/>
      <c r="G139" s="407"/>
      <c r="H139" s="407"/>
      <c r="I139" s="407"/>
      <c r="J139" s="407"/>
      <c r="K139" s="407"/>
      <c r="L139" s="407"/>
      <c r="M139" s="407"/>
      <c r="N139" s="407"/>
      <c r="O139" s="407"/>
    </row>
    <row r="140" spans="1:15" ht="12.75" customHeight="1" outlineLevel="1">
      <c r="A140" s="308" t="str">
        <f>A14</f>
        <v>Платная регистрация на канале INDARAP "Клетка"</v>
      </c>
      <c r="B140" s="314" t="s">
        <v>181</v>
      </c>
      <c r="C140" s="407"/>
      <c r="D140" s="407"/>
      <c r="E140" s="407"/>
      <c r="F140" s="407"/>
      <c r="G140" s="407"/>
      <c r="H140" s="407"/>
      <c r="I140" s="407"/>
      <c r="J140" s="407"/>
      <c r="K140" s="407"/>
      <c r="L140" s="407"/>
      <c r="M140" s="407"/>
      <c r="N140" s="407"/>
      <c r="O140" s="407"/>
    </row>
    <row r="141" spans="1:15" ht="12.75" customHeight="1" outlineLevel="1">
      <c r="A141" s="308" t="str">
        <f>A15</f>
        <v>СМС голосование за участников проекта "Клетка"</v>
      </c>
      <c r="B141" s="314" t="s">
        <v>181</v>
      </c>
      <c r="C141" s="407"/>
      <c r="D141" s="407"/>
      <c r="E141" s="407"/>
      <c r="F141" s="407"/>
      <c r="G141" s="407"/>
      <c r="H141" s="407"/>
      <c r="I141" s="407"/>
      <c r="J141" s="407"/>
      <c r="K141" s="407"/>
      <c r="L141" s="407"/>
      <c r="M141" s="407"/>
      <c r="N141" s="407"/>
      <c r="O141" s="407"/>
    </row>
    <row r="142" spans="1:15" ht="12.75" customHeight="1" outlineLevel="1">
      <c r="A142" s="308" t="str">
        <f>A16</f>
        <v>Спецпроекты рекламодателей (концерты, шоу…)</v>
      </c>
      <c r="B142" s="314" t="s">
        <v>181</v>
      </c>
      <c r="C142" s="407"/>
      <c r="D142" s="407"/>
      <c r="E142" s="407"/>
      <c r="F142" s="407"/>
      <c r="G142" s="407"/>
      <c r="H142" s="407"/>
      <c r="I142" s="407"/>
      <c r="J142" s="407"/>
      <c r="K142" s="407"/>
      <c r="L142" s="407"/>
      <c r="M142" s="407"/>
      <c r="N142" s="407"/>
      <c r="O142" s="407"/>
    </row>
    <row r="143" spans="1:15" ht="12.75" customHeight="1" outlineLevel="1">
      <c r="A143" s="308" t="str">
        <f>A17</f>
        <v>Продакт плэйсмент в шоу "Клетка"</v>
      </c>
      <c r="B143" s="314" t="s">
        <v>181</v>
      </c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</row>
    <row r="144" spans="1:15" ht="12.75" customHeight="1" outlineLevel="1">
      <c r="A144" s="6"/>
      <c r="B144" s="315"/>
      <c r="C144" s="312"/>
      <c r="D144" s="312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312"/>
    </row>
    <row r="145" spans="1:15" s="10" customFormat="1" ht="15.75" customHeight="1" outlineLevel="1">
      <c r="A145" s="184" t="s">
        <v>526</v>
      </c>
      <c r="B145" s="193"/>
      <c r="C145" s="273" t="str">
        <f aca="true" t="shared" si="8" ref="C145:H145">C124</f>
        <v>11/2001</v>
      </c>
      <c r="D145" s="273" t="str">
        <f t="shared" si="8"/>
        <v>12/2001</v>
      </c>
      <c r="E145" s="273" t="str">
        <f t="shared" si="8"/>
        <v>1/2002</v>
      </c>
      <c r="F145" s="273" t="str">
        <f t="shared" si="8"/>
        <v>2/2002</v>
      </c>
      <c r="G145" s="273" t="str">
        <f t="shared" si="8"/>
        <v>3/2002</v>
      </c>
      <c r="H145" s="273" t="str">
        <f t="shared" si="8"/>
        <v>4/2002</v>
      </c>
      <c r="I145" s="273" t="str">
        <f aca="true" t="shared" si="9" ref="I145:O145">I124</f>
        <v>5/2002</v>
      </c>
      <c r="J145" s="273" t="str">
        <f t="shared" si="9"/>
        <v>6/2002</v>
      </c>
      <c r="K145" s="273" t="str">
        <f t="shared" si="9"/>
        <v>7/2002</v>
      </c>
      <c r="L145" s="273" t="str">
        <f t="shared" si="9"/>
        <v>8/2002</v>
      </c>
      <c r="M145" s="273" t="str">
        <f t="shared" si="9"/>
        <v>9/2002</v>
      </c>
      <c r="N145" s="273" t="str">
        <f t="shared" si="9"/>
        <v>10/2002</v>
      </c>
      <c r="O145" s="273" t="str">
        <f t="shared" si="9"/>
        <v>11/2002</v>
      </c>
    </row>
    <row r="146" spans="1:15" ht="12.75" customHeight="1" outlineLevel="1">
      <c r="A146" s="308" t="str">
        <f>A13</f>
        <v>Имиджевая реклама на канале INDARAP</v>
      </c>
      <c r="B146" s="311" t="str">
        <f>"за 1 "&amp;B13</f>
        <v>за 1 шт.</v>
      </c>
      <c r="C146" s="407"/>
      <c r="D146" s="407"/>
      <c r="E146" s="407"/>
      <c r="F146" s="407"/>
      <c r="G146" s="407"/>
      <c r="H146" s="407"/>
      <c r="I146" s="407"/>
      <c r="J146" s="407"/>
      <c r="K146" s="407"/>
      <c r="L146" s="407"/>
      <c r="M146" s="407"/>
      <c r="N146" s="407"/>
      <c r="O146" s="407"/>
    </row>
    <row r="147" spans="1:15" ht="12.75" customHeight="1" outlineLevel="1">
      <c r="A147" s="308" t="str">
        <f>A14</f>
        <v>Платная регистрация на канале INDARAP "Клетка"</v>
      </c>
      <c r="B147" s="311" t="str">
        <f>"за 1 "&amp;B14</f>
        <v>за 1 шт.</v>
      </c>
      <c r="C147" s="407"/>
      <c r="D147" s="407"/>
      <c r="E147" s="407"/>
      <c r="F147" s="407"/>
      <c r="G147" s="407"/>
      <c r="H147" s="407"/>
      <c r="I147" s="407"/>
      <c r="J147" s="407"/>
      <c r="K147" s="407"/>
      <c r="L147" s="407"/>
      <c r="M147" s="407"/>
      <c r="N147" s="407"/>
      <c r="O147" s="407"/>
    </row>
    <row r="148" spans="1:15" ht="12.75" customHeight="1" outlineLevel="1">
      <c r="A148" s="308" t="str">
        <f>A15</f>
        <v>СМС голосование за участников проекта "Клетка"</v>
      </c>
      <c r="B148" s="311" t="str">
        <f>"за 1 "&amp;B15</f>
        <v>за 1 шт.</v>
      </c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7"/>
    </row>
    <row r="149" spans="1:15" ht="12.75" customHeight="1" outlineLevel="1">
      <c r="A149" s="308" t="str">
        <f>A16</f>
        <v>Спецпроекты рекламодателей (концерты, шоу…)</v>
      </c>
      <c r="B149" s="311" t="str">
        <f>"за 1 "&amp;B16</f>
        <v>за 1 шт.</v>
      </c>
      <c r="C149" s="407"/>
      <c r="D149" s="407"/>
      <c r="E149" s="407"/>
      <c r="F149" s="407"/>
      <c r="G149" s="407"/>
      <c r="H149" s="407"/>
      <c r="I149" s="407"/>
      <c r="J149" s="407"/>
      <c r="K149" s="407"/>
      <c r="L149" s="407"/>
      <c r="M149" s="407"/>
      <c r="N149" s="407"/>
      <c r="O149" s="407"/>
    </row>
    <row r="150" spans="1:15" ht="12.75" customHeight="1" outlineLevel="1">
      <c r="A150" s="308" t="str">
        <f>A17</f>
        <v>Продакт плэйсмент в шоу "Клетка"</v>
      </c>
      <c r="B150" s="311" t="str">
        <f>"за 1 "&amp;B17</f>
        <v>за 1 шт.</v>
      </c>
      <c r="C150" s="407"/>
      <c r="D150" s="407"/>
      <c r="E150" s="407"/>
      <c r="F150" s="407"/>
      <c r="G150" s="407"/>
      <c r="H150" s="407"/>
      <c r="I150" s="407"/>
      <c r="J150" s="407"/>
      <c r="K150" s="407"/>
      <c r="L150" s="407"/>
      <c r="M150" s="407"/>
      <c r="N150" s="407"/>
      <c r="O150" s="407"/>
    </row>
    <row r="151" spans="1:15" ht="12.75" customHeight="1">
      <c r="A151" s="6"/>
      <c r="B151" s="19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s="167" customFormat="1" ht="15.75" customHeight="1">
      <c r="A152" s="166" t="s">
        <v>527</v>
      </c>
      <c r="B152" s="182"/>
      <c r="C152" s="186"/>
      <c r="D152" s="186"/>
      <c r="E152" s="186"/>
      <c r="F152" s="167" t="s">
        <v>287</v>
      </c>
      <c r="G152" s="167" t="s">
        <v>288</v>
      </c>
      <c r="H152" s="167" t="s">
        <v>289</v>
      </c>
      <c r="I152" s="167" t="s">
        <v>290</v>
      </c>
      <c r="J152" s="167" t="s">
        <v>291</v>
      </c>
      <c r="K152" s="186"/>
      <c r="L152" s="186"/>
      <c r="M152" s="186"/>
      <c r="N152" s="186"/>
      <c r="O152" s="186"/>
    </row>
    <row r="153" spans="1:15" ht="12.75" customHeight="1" outlineLevel="1">
      <c r="A153" s="6"/>
      <c r="B153" s="19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s="10" customFormat="1" ht="15.75" customHeight="1" outlineLevel="1">
      <c r="A154" s="184" t="s">
        <v>396</v>
      </c>
      <c r="B154" s="194" t="s">
        <v>310</v>
      </c>
      <c r="C154" s="273" t="str">
        <f aca="true" t="shared" si="10" ref="C154:H154">C124</f>
        <v>11/2001</v>
      </c>
      <c r="D154" s="273" t="str">
        <f t="shared" si="10"/>
        <v>12/2001</v>
      </c>
      <c r="E154" s="273" t="str">
        <f t="shared" si="10"/>
        <v>1/2002</v>
      </c>
      <c r="F154" s="273" t="str">
        <f t="shared" si="10"/>
        <v>2/2002</v>
      </c>
      <c r="G154" s="273" t="str">
        <f t="shared" si="10"/>
        <v>3/2002</v>
      </c>
      <c r="H154" s="273" t="str">
        <f t="shared" si="10"/>
        <v>4/2002</v>
      </c>
      <c r="I154" s="273" t="str">
        <f aca="true" t="shared" si="11" ref="I154:O154">I124</f>
        <v>5/2002</v>
      </c>
      <c r="J154" s="273" t="str">
        <f t="shared" si="11"/>
        <v>6/2002</v>
      </c>
      <c r="K154" s="273" t="str">
        <f t="shared" si="11"/>
        <v>7/2002</v>
      </c>
      <c r="L154" s="273" t="str">
        <f t="shared" si="11"/>
        <v>8/2002</v>
      </c>
      <c r="M154" s="273" t="str">
        <f t="shared" si="11"/>
        <v>9/2002</v>
      </c>
      <c r="N154" s="273" t="str">
        <f t="shared" si="11"/>
        <v>10/2002</v>
      </c>
      <c r="O154" s="273" t="str">
        <f t="shared" si="11"/>
        <v>11/2002</v>
      </c>
    </row>
    <row r="155" spans="1:15" ht="12.75" customHeight="1" outlineLevel="1">
      <c r="A155" s="286" t="s">
        <v>49</v>
      </c>
      <c r="B155" s="300" t="s">
        <v>181</v>
      </c>
      <c r="C155" s="274"/>
      <c r="D155" s="274">
        <v>75000</v>
      </c>
      <c r="E155" s="274">
        <v>75000</v>
      </c>
      <c r="F155" s="274">
        <v>75000</v>
      </c>
      <c r="G155" s="274">
        <v>75000</v>
      </c>
      <c r="H155" s="274">
        <v>75000</v>
      </c>
      <c r="I155" s="274">
        <v>75000</v>
      </c>
      <c r="J155" s="274">
        <v>75000</v>
      </c>
      <c r="K155" s="274">
        <v>75000</v>
      </c>
      <c r="L155" s="274">
        <v>75000</v>
      </c>
      <c r="M155" s="274">
        <v>75000</v>
      </c>
      <c r="N155" s="274">
        <v>75000</v>
      </c>
      <c r="O155" s="274">
        <v>75000</v>
      </c>
    </row>
    <row r="156" spans="1:15" ht="12.75" customHeight="1" outlineLevel="1">
      <c r="A156" s="286" t="s">
        <v>165</v>
      </c>
      <c r="B156" s="300" t="s">
        <v>181</v>
      </c>
      <c r="C156" s="24">
        <v>15000</v>
      </c>
      <c r="D156" s="27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1:15" ht="12.75" customHeight="1" outlineLevel="1">
      <c r="A157" s="286" t="s">
        <v>166</v>
      </c>
      <c r="B157" s="300" t="s">
        <v>181</v>
      </c>
      <c r="C157" s="24"/>
      <c r="D157" s="274">
        <v>300000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1:15" ht="12.75" customHeight="1" outlineLevel="1">
      <c r="A158" s="286" t="s">
        <v>110</v>
      </c>
      <c r="B158" s="300" t="s">
        <v>181</v>
      </c>
      <c r="C158" s="24">
        <v>3000</v>
      </c>
      <c r="D158" s="274">
        <v>10000</v>
      </c>
      <c r="E158" s="274">
        <v>10000</v>
      </c>
      <c r="F158" s="274">
        <v>10000</v>
      </c>
      <c r="G158" s="274">
        <v>10000</v>
      </c>
      <c r="H158" s="274">
        <v>10000</v>
      </c>
      <c r="I158" s="274">
        <v>10000</v>
      </c>
      <c r="J158" s="274">
        <v>10000</v>
      </c>
      <c r="K158" s="274">
        <v>10000</v>
      </c>
      <c r="L158" s="274">
        <v>10000</v>
      </c>
      <c r="M158" s="274">
        <v>10000</v>
      </c>
      <c r="N158" s="274">
        <v>10000</v>
      </c>
      <c r="O158" s="274">
        <v>10000</v>
      </c>
    </row>
    <row r="159" spans="1:15" ht="12.75" customHeight="1" outlineLevel="1">
      <c r="A159" s="286" t="s">
        <v>109</v>
      </c>
      <c r="B159" s="300" t="s">
        <v>181</v>
      </c>
      <c r="C159" s="24"/>
      <c r="D159" s="274"/>
      <c r="E159" s="24">
        <v>180000</v>
      </c>
      <c r="F159" s="24">
        <v>180000</v>
      </c>
      <c r="G159" s="24">
        <v>180000</v>
      </c>
      <c r="H159" s="24">
        <v>180000</v>
      </c>
      <c r="I159" s="24">
        <v>180000</v>
      </c>
      <c r="J159" s="24">
        <v>180000</v>
      </c>
      <c r="K159" s="24">
        <v>180000</v>
      </c>
      <c r="L159" s="24">
        <v>180000</v>
      </c>
      <c r="M159" s="24">
        <v>180000</v>
      </c>
      <c r="N159" s="24">
        <v>180000</v>
      </c>
      <c r="O159" s="24">
        <v>180000</v>
      </c>
    </row>
    <row r="160" spans="1:15" ht="12.75" customHeight="1" outlineLevel="1">
      <c r="A160" s="286" t="s">
        <v>15</v>
      </c>
      <c r="B160" s="300" t="s">
        <v>181</v>
      </c>
      <c r="C160" s="24">
        <v>0</v>
      </c>
      <c r="D160" s="274">
        <v>10000</v>
      </c>
      <c r="E160" s="274">
        <v>10000</v>
      </c>
      <c r="F160" s="274">
        <v>10000</v>
      </c>
      <c r="G160" s="274">
        <v>10000</v>
      </c>
      <c r="H160" s="274">
        <v>10000</v>
      </c>
      <c r="I160" s="274">
        <v>10000</v>
      </c>
      <c r="J160" s="274">
        <v>10000</v>
      </c>
      <c r="K160" s="274">
        <v>10000</v>
      </c>
      <c r="L160" s="274">
        <v>10000</v>
      </c>
      <c r="M160" s="274">
        <v>10000</v>
      </c>
      <c r="N160" s="274">
        <v>10000</v>
      </c>
      <c r="O160" s="274">
        <v>10000</v>
      </c>
    </row>
    <row r="161" spans="1:15" ht="12.75" customHeight="1" outlineLevel="1">
      <c r="A161" s="286" t="s">
        <v>20</v>
      </c>
      <c r="B161" s="300" t="s">
        <v>181</v>
      </c>
      <c r="C161" s="24">
        <v>0</v>
      </c>
      <c r="D161" s="274">
        <v>100000</v>
      </c>
      <c r="E161" s="24">
        <v>50000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1:15" ht="12.75" customHeight="1" outlineLevel="1">
      <c r="A162" s="286" t="s">
        <v>83</v>
      </c>
      <c r="B162" s="300" t="s">
        <v>181</v>
      </c>
      <c r="C162" s="24">
        <v>0</v>
      </c>
      <c r="D162" s="274">
        <v>400000</v>
      </c>
      <c r="E162" s="24">
        <v>100000</v>
      </c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1:15" ht="12.75" customHeight="1" outlineLevel="1">
      <c r="A163" s="286" t="s">
        <v>523</v>
      </c>
      <c r="B163" s="300" t="s">
        <v>181</v>
      </c>
      <c r="C163" s="24">
        <v>0</v>
      </c>
      <c r="D163" s="274">
        <v>150000</v>
      </c>
      <c r="E163" s="24"/>
      <c r="F163" s="24">
        <v>50000</v>
      </c>
      <c r="G163" s="24"/>
      <c r="H163" s="24"/>
      <c r="I163" s="24"/>
      <c r="J163" s="24"/>
      <c r="K163" s="24"/>
      <c r="L163" s="24"/>
      <c r="M163" s="24"/>
      <c r="N163" s="24"/>
      <c r="O163" s="24"/>
    </row>
    <row r="164" ht="12.75" customHeight="1" outlineLevel="1">
      <c r="A164" s="14"/>
    </row>
    <row r="165" spans="1:15" s="10" customFormat="1" ht="15.75" customHeight="1" outlineLevel="1">
      <c r="A165" s="184" t="s">
        <v>311</v>
      </c>
      <c r="B165" s="194"/>
      <c r="C165" s="273" t="str">
        <f aca="true" t="shared" si="12" ref="C165:H165">C124</f>
        <v>11/2001</v>
      </c>
      <c r="D165" s="273" t="str">
        <f t="shared" si="12"/>
        <v>12/2001</v>
      </c>
      <c r="E165" s="273" t="str">
        <f t="shared" si="12"/>
        <v>1/2002</v>
      </c>
      <c r="F165" s="273" t="str">
        <f t="shared" si="12"/>
        <v>2/2002</v>
      </c>
      <c r="G165" s="273" t="str">
        <f t="shared" si="12"/>
        <v>3/2002</v>
      </c>
      <c r="H165" s="273" t="str">
        <f t="shared" si="12"/>
        <v>4/2002</v>
      </c>
      <c r="I165" s="273" t="str">
        <f aca="true" t="shared" si="13" ref="I165:O165">I124</f>
        <v>5/2002</v>
      </c>
      <c r="J165" s="273" t="str">
        <f t="shared" si="13"/>
        <v>6/2002</v>
      </c>
      <c r="K165" s="273" t="str">
        <f t="shared" si="13"/>
        <v>7/2002</v>
      </c>
      <c r="L165" s="273" t="str">
        <f t="shared" si="13"/>
        <v>8/2002</v>
      </c>
      <c r="M165" s="273" t="str">
        <f t="shared" si="13"/>
        <v>9/2002</v>
      </c>
      <c r="N165" s="273" t="str">
        <f t="shared" si="13"/>
        <v>10/2002</v>
      </c>
      <c r="O165" s="273" t="str">
        <f t="shared" si="13"/>
        <v>11/2002</v>
      </c>
    </row>
    <row r="166" spans="1:15" ht="12.75" customHeight="1" outlineLevel="1">
      <c r="A166" s="286" t="s">
        <v>219</v>
      </c>
      <c r="B166" s="300" t="s">
        <v>181</v>
      </c>
      <c r="C166" s="274"/>
      <c r="D166" s="274"/>
      <c r="E166" s="274">
        <v>10000</v>
      </c>
      <c r="F166" s="274">
        <v>10000</v>
      </c>
      <c r="G166" s="274">
        <v>10000</v>
      </c>
      <c r="H166" s="274">
        <v>10000</v>
      </c>
      <c r="I166" s="274">
        <v>10000</v>
      </c>
      <c r="J166" s="274">
        <v>10000</v>
      </c>
      <c r="K166" s="274">
        <v>10000</v>
      </c>
      <c r="L166" s="274">
        <v>10000</v>
      </c>
      <c r="M166" s="274">
        <v>10000</v>
      </c>
      <c r="N166" s="274">
        <v>10000</v>
      </c>
      <c r="O166" s="274">
        <v>10000</v>
      </c>
    </row>
    <row r="167" spans="1:15" ht="12.75" customHeight="1" outlineLevel="1">
      <c r="A167" s="286"/>
      <c r="B167" s="300" t="s">
        <v>181</v>
      </c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1:15" ht="12.75" customHeight="1" outlineLevel="1">
      <c r="A168" s="286"/>
      <c r="B168" s="300" t="s">
        <v>181</v>
      </c>
      <c r="C168" s="24"/>
      <c r="D168" s="27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1:15" ht="12.75" customHeight="1" outlineLevel="1">
      <c r="A169" s="286"/>
      <c r="B169" s="300" t="s">
        <v>181</v>
      </c>
      <c r="C169" s="24"/>
      <c r="D169" s="27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1:15" ht="12.75" customHeight="1" outlineLevel="1">
      <c r="A170" s="286" t="s">
        <v>176</v>
      </c>
      <c r="B170" s="300" t="s">
        <v>181</v>
      </c>
      <c r="C170" s="24">
        <v>0</v>
      </c>
      <c r="D170" s="274" t="s">
        <v>170</v>
      </c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1:15" ht="12.75" customHeight="1" outlineLevel="1">
      <c r="A171" s="286" t="s">
        <v>176</v>
      </c>
      <c r="B171" s="300" t="s">
        <v>181</v>
      </c>
      <c r="C171" s="24">
        <v>0</v>
      </c>
      <c r="D171" s="274" t="s">
        <v>170</v>
      </c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1:15" ht="12.75" customHeight="1" outlineLevel="1">
      <c r="A172" s="286" t="s">
        <v>176</v>
      </c>
      <c r="B172" s="300" t="s">
        <v>181</v>
      </c>
      <c r="C172" s="24">
        <v>0</v>
      </c>
      <c r="D172" s="274" t="s">
        <v>170</v>
      </c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1:15" ht="12.75" customHeight="1" outlineLevel="1">
      <c r="A173" s="286" t="s">
        <v>176</v>
      </c>
      <c r="B173" s="300" t="s">
        <v>181</v>
      </c>
      <c r="C173" s="24">
        <v>0</v>
      </c>
      <c r="D173" s="274" t="s">
        <v>170</v>
      </c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ht="12.75" customHeight="1" outlineLevel="1">
      <c r="A174" s="14"/>
    </row>
    <row r="175" spans="1:15" s="10" customFormat="1" ht="15.75" customHeight="1" outlineLevel="1">
      <c r="A175" s="184" t="s">
        <v>398</v>
      </c>
      <c r="B175" s="194"/>
      <c r="C175" s="273" t="str">
        <f aca="true" t="shared" si="14" ref="C175:H175">C124</f>
        <v>11/2001</v>
      </c>
      <c r="D175" s="273" t="str">
        <f t="shared" si="14"/>
        <v>12/2001</v>
      </c>
      <c r="E175" s="273" t="str">
        <f t="shared" si="14"/>
        <v>1/2002</v>
      </c>
      <c r="F175" s="273" t="str">
        <f t="shared" si="14"/>
        <v>2/2002</v>
      </c>
      <c r="G175" s="273" t="str">
        <f t="shared" si="14"/>
        <v>3/2002</v>
      </c>
      <c r="H175" s="273" t="str">
        <f t="shared" si="14"/>
        <v>4/2002</v>
      </c>
      <c r="I175" s="273" t="str">
        <f aca="true" t="shared" si="15" ref="I175:O175">I124</f>
        <v>5/2002</v>
      </c>
      <c r="J175" s="273" t="str">
        <f t="shared" si="15"/>
        <v>6/2002</v>
      </c>
      <c r="K175" s="273" t="str">
        <f t="shared" si="15"/>
        <v>7/2002</v>
      </c>
      <c r="L175" s="273" t="str">
        <f t="shared" si="15"/>
        <v>8/2002</v>
      </c>
      <c r="M175" s="273" t="str">
        <f t="shared" si="15"/>
        <v>9/2002</v>
      </c>
      <c r="N175" s="273" t="str">
        <f t="shared" si="15"/>
        <v>10/2002</v>
      </c>
      <c r="O175" s="273" t="str">
        <f t="shared" si="15"/>
        <v>11/2002</v>
      </c>
    </row>
    <row r="176" spans="1:15" ht="12.75" customHeight="1" outlineLevel="1">
      <c r="A176" s="286" t="s">
        <v>293</v>
      </c>
      <c r="B176" s="300" t="s">
        <v>181</v>
      </c>
      <c r="C176" s="274"/>
      <c r="D176" s="274">
        <v>20000</v>
      </c>
      <c r="E176" s="274">
        <v>100000</v>
      </c>
      <c r="F176" s="274"/>
      <c r="G176" s="274"/>
      <c r="H176" s="274"/>
      <c r="I176" s="274"/>
      <c r="J176" s="274"/>
      <c r="K176" s="274"/>
      <c r="L176" s="274"/>
      <c r="M176" s="274"/>
      <c r="N176" s="274"/>
      <c r="O176" s="274"/>
    </row>
    <row r="177" spans="1:15" ht="12.75" customHeight="1" outlineLevel="1">
      <c r="A177" s="286" t="s">
        <v>162</v>
      </c>
      <c r="B177" s="300" t="s">
        <v>181</v>
      </c>
      <c r="C177" s="274">
        <v>60000</v>
      </c>
      <c r="D177" s="274">
        <v>80000</v>
      </c>
      <c r="E177" s="274">
        <v>80000</v>
      </c>
      <c r="F177" s="274">
        <v>80000</v>
      </c>
      <c r="G177" s="274">
        <v>80000</v>
      </c>
      <c r="H177" s="274">
        <v>80000</v>
      </c>
      <c r="I177" s="274">
        <v>80000</v>
      </c>
      <c r="J177" s="274">
        <v>80000</v>
      </c>
      <c r="K177" s="274">
        <v>80000</v>
      </c>
      <c r="L177" s="274">
        <v>80000</v>
      </c>
      <c r="M177" s="274">
        <v>80000</v>
      </c>
      <c r="N177" s="274">
        <v>80000</v>
      </c>
      <c r="O177" s="274">
        <v>80000</v>
      </c>
    </row>
    <row r="178" spans="1:15" ht="12.75" customHeight="1" outlineLevel="1">
      <c r="A178" s="286" t="s">
        <v>163</v>
      </c>
      <c r="B178" s="300" t="s">
        <v>181</v>
      </c>
      <c r="C178" s="274">
        <v>30000</v>
      </c>
      <c r="D178" s="27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1:15" ht="12.75" customHeight="1" outlineLevel="1">
      <c r="A179" s="286" t="s">
        <v>164</v>
      </c>
      <c r="B179" s="300" t="s">
        <v>181</v>
      </c>
      <c r="C179" s="24">
        <v>10000</v>
      </c>
      <c r="D179" s="274">
        <v>10000</v>
      </c>
      <c r="E179" s="274">
        <v>10000</v>
      </c>
      <c r="F179" s="274">
        <v>10000</v>
      </c>
      <c r="G179" s="274">
        <v>10000</v>
      </c>
      <c r="H179" s="274">
        <v>10000</v>
      </c>
      <c r="I179" s="274">
        <v>10000</v>
      </c>
      <c r="J179" s="274">
        <v>10000</v>
      </c>
      <c r="K179" s="274">
        <v>10000</v>
      </c>
      <c r="L179" s="274">
        <v>10000</v>
      </c>
      <c r="M179" s="274">
        <v>10000</v>
      </c>
      <c r="N179" s="274">
        <v>10000</v>
      </c>
      <c r="O179" s="274">
        <v>10000</v>
      </c>
    </row>
    <row r="180" spans="1:15" ht="12.75" customHeight="1" outlineLevel="1">
      <c r="A180" s="286" t="s">
        <v>151</v>
      </c>
      <c r="B180" s="300" t="s">
        <v>181</v>
      </c>
      <c r="C180" s="24"/>
      <c r="D180" s="27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1:15" ht="12.75" customHeight="1" outlineLevel="1">
      <c r="A181" s="286" t="s">
        <v>522</v>
      </c>
      <c r="B181" s="300" t="s">
        <v>181</v>
      </c>
      <c r="C181" s="24"/>
      <c r="D181" s="274">
        <v>100000</v>
      </c>
      <c r="E181" s="24">
        <v>300000</v>
      </c>
      <c r="F181" s="24"/>
      <c r="G181" s="24">
        <v>100000</v>
      </c>
      <c r="H181" s="24"/>
      <c r="I181" s="24">
        <v>300000</v>
      </c>
      <c r="J181" s="24"/>
      <c r="K181" s="24"/>
      <c r="L181" s="24"/>
      <c r="M181" s="24"/>
      <c r="N181" s="24"/>
      <c r="O181" s="24"/>
    </row>
    <row r="182" spans="1:15" ht="12.75" customHeight="1" outlineLevel="1">
      <c r="A182" s="286" t="s">
        <v>152</v>
      </c>
      <c r="B182" s="300" t="s">
        <v>181</v>
      </c>
      <c r="C182" s="24">
        <v>0</v>
      </c>
      <c r="D182" s="274">
        <v>100000</v>
      </c>
      <c r="E182" s="274">
        <v>100000</v>
      </c>
      <c r="F182" s="274">
        <v>100000</v>
      </c>
      <c r="G182" s="274">
        <v>100000</v>
      </c>
      <c r="H182" s="274">
        <v>100000</v>
      </c>
      <c r="I182" s="24">
        <v>100000</v>
      </c>
      <c r="J182" s="24"/>
      <c r="K182" s="24"/>
      <c r="L182" s="24"/>
      <c r="M182" s="24"/>
      <c r="N182" s="24"/>
      <c r="O182" s="24"/>
    </row>
    <row r="183" spans="1:15" ht="12.75" customHeight="1" outlineLevel="1">
      <c r="A183" s="286" t="s">
        <v>81</v>
      </c>
      <c r="B183" s="300" t="s">
        <v>181</v>
      </c>
      <c r="C183" s="24">
        <v>0</v>
      </c>
      <c r="D183" s="274">
        <v>240000</v>
      </c>
      <c r="E183" s="24">
        <v>240000</v>
      </c>
      <c r="F183" s="24">
        <v>120000</v>
      </c>
      <c r="G183" s="24">
        <v>120000</v>
      </c>
      <c r="H183" s="24">
        <v>120000</v>
      </c>
      <c r="I183" s="24">
        <v>120000</v>
      </c>
      <c r="J183" s="24"/>
      <c r="K183" s="24"/>
      <c r="L183" s="24"/>
      <c r="M183" s="24">
        <v>120000</v>
      </c>
      <c r="N183" s="24">
        <v>120000</v>
      </c>
      <c r="O183" s="24">
        <v>120000</v>
      </c>
    </row>
    <row r="184" spans="1:15" ht="12.75" customHeight="1" outlineLevel="1">
      <c r="A184" s="286" t="s">
        <v>176</v>
      </c>
      <c r="B184" s="300" t="s">
        <v>181</v>
      </c>
      <c r="C184" s="24">
        <v>0</v>
      </c>
      <c r="D184" s="274" t="s">
        <v>170</v>
      </c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1:15" ht="12.75" customHeight="1" outlineLevel="1">
      <c r="A185" s="286" t="s">
        <v>176</v>
      </c>
      <c r="B185" s="300" t="s">
        <v>181</v>
      </c>
      <c r="C185" s="24">
        <v>0</v>
      </c>
      <c r="D185" s="274" t="s">
        <v>170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1:15" ht="12.75" customHeight="1" outlineLevel="1">
      <c r="A186" s="286" t="s">
        <v>176</v>
      </c>
      <c r="B186" s="300" t="s">
        <v>181</v>
      </c>
      <c r="C186" s="24">
        <v>0</v>
      </c>
      <c r="D186" s="274" t="s">
        <v>170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1:15" ht="12.75" customHeight="1" outlineLevel="1">
      <c r="A187" s="286" t="s">
        <v>176</v>
      </c>
      <c r="B187" s="300" t="s">
        <v>181</v>
      </c>
      <c r="C187" s="24">
        <v>0</v>
      </c>
      <c r="D187" s="274" t="s">
        <v>170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ht="12.75" customHeight="1" outlineLevel="1">
      <c r="A188" s="14"/>
    </row>
    <row r="189" spans="1:15" s="10" customFormat="1" ht="15.75" customHeight="1" outlineLevel="1">
      <c r="A189" s="184" t="s">
        <v>489</v>
      </c>
      <c r="B189" s="194" t="str">
        <f>CURRENCY_NAME</f>
        <v>руб.</v>
      </c>
      <c r="C189" s="273" t="str">
        <f aca="true" t="shared" si="16" ref="C189:H189">C138</f>
        <v>11/2001</v>
      </c>
      <c r="D189" s="273" t="str">
        <f t="shared" si="16"/>
        <v>12/2001</v>
      </c>
      <c r="E189" s="273" t="str">
        <f t="shared" si="16"/>
        <v>1/2002</v>
      </c>
      <c r="F189" s="273" t="str">
        <f t="shared" si="16"/>
        <v>2/2002</v>
      </c>
      <c r="G189" s="273" t="str">
        <f t="shared" si="16"/>
        <v>3/2002</v>
      </c>
      <c r="H189" s="273" t="str">
        <f t="shared" si="16"/>
        <v>4/2002</v>
      </c>
      <c r="I189" s="273" t="str">
        <f aca="true" t="shared" si="17" ref="I189:O189">I138</f>
        <v>5/2002</v>
      </c>
      <c r="J189" s="273" t="str">
        <f t="shared" si="17"/>
        <v>6/2002</v>
      </c>
      <c r="K189" s="273" t="str">
        <f t="shared" si="17"/>
        <v>7/2002</v>
      </c>
      <c r="L189" s="273" t="str">
        <f t="shared" si="17"/>
        <v>8/2002</v>
      </c>
      <c r="M189" s="273" t="str">
        <f t="shared" si="17"/>
        <v>9/2002</v>
      </c>
      <c r="N189" s="273" t="str">
        <f t="shared" si="17"/>
        <v>10/2002</v>
      </c>
      <c r="O189" s="273" t="str">
        <f t="shared" si="17"/>
        <v>11/2002</v>
      </c>
    </row>
    <row r="190" spans="1:15" ht="12.75" customHeight="1" outlineLevel="1">
      <c r="A190" s="14" t="s">
        <v>108</v>
      </c>
      <c r="C190" s="24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O190" s="274"/>
    </row>
    <row r="191" spans="1:15" ht="12.75" customHeight="1" outlineLevel="1">
      <c r="A191" s="14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1:15" s="10" customFormat="1" ht="15.75" customHeight="1" outlineLevel="1">
      <c r="A192" s="184" t="s">
        <v>399</v>
      </c>
      <c r="B192" s="194" t="str">
        <f>CURRENCY_NAME</f>
        <v>руб.</v>
      </c>
      <c r="C192" s="273" t="str">
        <f aca="true" t="shared" si="18" ref="C192:H192">C124</f>
        <v>11/2001</v>
      </c>
      <c r="D192" s="273" t="str">
        <f t="shared" si="18"/>
        <v>12/2001</v>
      </c>
      <c r="E192" s="273" t="str">
        <f t="shared" si="18"/>
        <v>1/2002</v>
      </c>
      <c r="F192" s="273" t="str">
        <f t="shared" si="18"/>
        <v>2/2002</v>
      </c>
      <c r="G192" s="273" t="str">
        <f t="shared" si="18"/>
        <v>3/2002</v>
      </c>
      <c r="H192" s="273" t="str">
        <f t="shared" si="18"/>
        <v>4/2002</v>
      </c>
      <c r="I192" s="273" t="str">
        <f aca="true" t="shared" si="19" ref="I192:O192">I124</f>
        <v>5/2002</v>
      </c>
      <c r="J192" s="273" t="str">
        <f t="shared" si="19"/>
        <v>6/2002</v>
      </c>
      <c r="K192" s="273" t="str">
        <f t="shared" si="19"/>
        <v>7/2002</v>
      </c>
      <c r="L192" s="273" t="str">
        <f t="shared" si="19"/>
        <v>8/2002</v>
      </c>
      <c r="M192" s="273" t="str">
        <f t="shared" si="19"/>
        <v>9/2002</v>
      </c>
      <c r="N192" s="273" t="str">
        <f t="shared" si="19"/>
        <v>10/2002</v>
      </c>
      <c r="O192" s="273" t="str">
        <f t="shared" si="19"/>
        <v>11/2002</v>
      </c>
    </row>
    <row r="193" spans="1:15" ht="12.75" customHeight="1" outlineLevel="1">
      <c r="A193" s="14" t="s">
        <v>396</v>
      </c>
      <c r="B193" s="17"/>
      <c r="C193" s="304">
        <f ca="1">IF(Расчеты!$B$48&gt;0,SUM(C155:OFFSET(C155,Расчеты!$B$48-1,0)),0)</f>
        <v>18000</v>
      </c>
      <c r="D193" s="304">
        <f ca="1">IF(Расчеты!$B$48&gt;0,SUM(D155:OFFSET(D155,Расчеты!$B$48-1,0)),0)</f>
        <v>1045000</v>
      </c>
      <c r="E193" s="304">
        <f ca="1">IF(Расчеты!$B$48&gt;0,SUM(E155:OFFSET(E155,Расчеты!$B$48-1,0)),0)</f>
        <v>425000</v>
      </c>
      <c r="F193" s="304">
        <f ca="1">IF(Расчеты!$B$48&gt;0,SUM(F155:OFFSET(F155,Расчеты!$B$48-1,0)),0)</f>
        <v>325000</v>
      </c>
      <c r="G193" s="304">
        <f ca="1">IF(Расчеты!$B$48&gt;0,SUM(G155:OFFSET(G155,Расчеты!$B$48-1,0)),0)</f>
        <v>275000</v>
      </c>
      <c r="H193" s="304">
        <f ca="1">IF(Расчеты!$B$48&gt;0,SUM(H155:OFFSET(H155,Расчеты!$B$48-1,0)),0)</f>
        <v>275000</v>
      </c>
      <c r="I193" s="304">
        <f ca="1">IF(Расчеты!$B$48&gt;0,SUM(I155:OFFSET(I155,Расчеты!$B$48-1,0)),0)</f>
        <v>275000</v>
      </c>
      <c r="J193" s="304">
        <f ca="1">IF(Расчеты!$B$48&gt;0,SUM(J155:OFFSET(J155,Расчеты!$B$48-1,0)),0)</f>
        <v>275000</v>
      </c>
      <c r="K193" s="304">
        <f ca="1">IF(Расчеты!$B$48&gt;0,SUM(K155:OFFSET(K155,Расчеты!$B$48-1,0)),0)</f>
        <v>275000</v>
      </c>
      <c r="L193" s="304">
        <f ca="1">IF(Расчеты!$B$48&gt;0,SUM(L155:OFFSET(L155,Расчеты!$B$48-1,0)),0)</f>
        <v>275000</v>
      </c>
      <c r="M193" s="304">
        <f ca="1">IF(Расчеты!$B$48&gt;0,SUM(M155:OFFSET(M155,Расчеты!$B$48-1,0)),0)</f>
        <v>275000</v>
      </c>
      <c r="N193" s="304">
        <f ca="1">IF(Расчеты!$B$48&gt;0,SUM(N155:OFFSET(N155,Расчеты!$B$48-1,0)),0)</f>
        <v>275000</v>
      </c>
      <c r="O193" s="304">
        <f ca="1">IF(Расчеты!$B$48&gt;0,SUM(O155:OFFSET(O155,Расчеты!$B$48-1,0)),0)</f>
        <v>275000</v>
      </c>
    </row>
    <row r="194" spans="1:15" ht="12.75" customHeight="1" outlineLevel="1">
      <c r="A194" s="14" t="s">
        <v>397</v>
      </c>
      <c r="B194" s="17"/>
      <c r="C194" s="305">
        <f ca="1">IF(Расчеты!$B$49&gt;0,SUM(C166:OFFSET(C166,Расчеты!$B$49-1,0)),0)</f>
        <v>0</v>
      </c>
      <c r="D194" s="305">
        <f ca="1">IF(Расчеты!$B$49&gt;0,SUM(D166:OFFSET(D166,Расчеты!$B$49-1,0)),0)</f>
        <v>0</v>
      </c>
      <c r="E194" s="305">
        <f ca="1">IF(Расчеты!$B$49&gt;0,SUM(E166:OFFSET(E166,Расчеты!$B$49-1,0)),0)</f>
        <v>10000</v>
      </c>
      <c r="F194" s="305">
        <f ca="1">IF(Расчеты!$B$49&gt;0,SUM(F166:OFFSET(F166,Расчеты!$B$49-1,0)),0)</f>
        <v>10000</v>
      </c>
      <c r="G194" s="305">
        <f ca="1">IF(Расчеты!$B$49&gt;0,SUM(G166:OFFSET(G166,Расчеты!$B$49-1,0)),0)</f>
        <v>10000</v>
      </c>
      <c r="H194" s="305">
        <f ca="1">IF(Расчеты!$B$49&gt;0,SUM(H166:OFFSET(H166,Расчеты!$B$49-1,0)),0)</f>
        <v>10000</v>
      </c>
      <c r="I194" s="305">
        <f ca="1">IF(Расчеты!$B$49&gt;0,SUM(I166:OFFSET(I166,Расчеты!$B$49-1,0)),0)</f>
        <v>10000</v>
      </c>
      <c r="J194" s="305">
        <f ca="1">IF(Расчеты!$B$49&gt;0,SUM(J166:OFFSET(J166,Расчеты!$B$49-1,0)),0)</f>
        <v>10000</v>
      </c>
      <c r="K194" s="305">
        <f ca="1">IF(Расчеты!$B$49&gt;0,SUM(K166:OFFSET(K166,Расчеты!$B$49-1,0)),0)</f>
        <v>10000</v>
      </c>
      <c r="L194" s="305">
        <f ca="1">IF(Расчеты!$B$49&gt;0,SUM(L166:OFFSET(L166,Расчеты!$B$49-1,0)),0)</f>
        <v>10000</v>
      </c>
      <c r="M194" s="305">
        <f ca="1">IF(Расчеты!$B$49&gt;0,SUM(M166:OFFSET(M166,Расчеты!$B$49-1,0)),0)</f>
        <v>10000</v>
      </c>
      <c r="N194" s="305">
        <f ca="1">IF(Расчеты!$B$49&gt;0,SUM(N166:OFFSET(N166,Расчеты!$B$49-1,0)),0)</f>
        <v>10000</v>
      </c>
      <c r="O194" s="305">
        <f ca="1">IF(Расчеты!$B$49&gt;0,SUM(O166:OFFSET(O166,Расчеты!$B$49-1,0)),0)</f>
        <v>10000</v>
      </c>
    </row>
    <row r="195" spans="1:15" ht="12.75" customHeight="1" outlineLevel="1">
      <c r="A195" s="14" t="s">
        <v>398</v>
      </c>
      <c r="B195" s="17"/>
      <c r="C195" s="305">
        <f ca="1">IF(Расчеты!$B$50&gt;0,SUM(C176:OFFSET(C176,Расчеты!$B$50-1,0)),0)</f>
        <v>100000</v>
      </c>
      <c r="D195" s="305">
        <f ca="1">IF(Расчеты!$B$50&gt;0,SUM(D176:OFFSET(D176,Расчеты!$B$50-1,0)),0)</f>
        <v>550000</v>
      </c>
      <c r="E195" s="305">
        <f ca="1">IF(Расчеты!$B$50&gt;0,SUM(E176:OFFSET(E176,Расчеты!$B$50-1,0)),0)</f>
        <v>830000</v>
      </c>
      <c r="F195" s="305">
        <f ca="1">IF(Расчеты!$B$50&gt;0,SUM(F176:OFFSET(F176,Расчеты!$B$50-1,0)),0)</f>
        <v>310000</v>
      </c>
      <c r="G195" s="305">
        <f ca="1">IF(Расчеты!$B$50&gt;0,SUM(G176:OFFSET(G176,Расчеты!$B$50-1,0)),0)</f>
        <v>410000</v>
      </c>
      <c r="H195" s="305">
        <f ca="1">IF(Расчеты!$B$50&gt;0,SUM(H176:OFFSET(H176,Расчеты!$B$50-1,0)),0)</f>
        <v>310000</v>
      </c>
      <c r="I195" s="305">
        <f ca="1">IF(Расчеты!$B$50&gt;0,SUM(I176:OFFSET(I176,Расчеты!$B$50-1,0)),0)</f>
        <v>610000</v>
      </c>
      <c r="J195" s="305">
        <f ca="1">IF(Расчеты!$B$50&gt;0,SUM(J176:OFFSET(J176,Расчеты!$B$50-1,0)),0)</f>
        <v>90000</v>
      </c>
      <c r="K195" s="305">
        <f ca="1">IF(Расчеты!$B$50&gt;0,SUM(K176:OFFSET(K176,Расчеты!$B$50-1,0)),0)</f>
        <v>90000</v>
      </c>
      <c r="L195" s="305">
        <f ca="1">IF(Расчеты!$B$50&gt;0,SUM(L176:OFFSET(L176,Расчеты!$B$50-1,0)),0)</f>
        <v>90000</v>
      </c>
      <c r="M195" s="305">
        <f ca="1">IF(Расчеты!$B$50&gt;0,SUM(M176:OFFSET(M176,Расчеты!$B$50-1,0)),0)</f>
        <v>210000</v>
      </c>
      <c r="N195" s="305">
        <f ca="1">IF(Расчеты!$B$50&gt;0,SUM(N176:OFFSET(N176,Расчеты!$B$50-1,0)),0)</f>
        <v>210000</v>
      </c>
      <c r="O195" s="305">
        <f ca="1">IF(Расчеты!$B$50&gt;0,SUM(O176:OFFSET(O176,Расчеты!$B$50-1,0)),0)</f>
        <v>210000</v>
      </c>
    </row>
    <row r="196" spans="1:15" ht="12.75" customHeight="1" outlineLevel="1">
      <c r="A196" s="14" t="s">
        <v>489</v>
      </c>
      <c r="B196" s="17"/>
      <c r="C196" s="305">
        <f aca="true" t="shared" si="20" ref="C196:O196">C190</f>
        <v>0</v>
      </c>
      <c r="D196" s="305">
        <f t="shared" si="20"/>
        <v>0</v>
      </c>
      <c r="E196" s="305">
        <f t="shared" si="20"/>
        <v>0</v>
      </c>
      <c r="F196" s="305">
        <f t="shared" si="20"/>
        <v>0</v>
      </c>
      <c r="G196" s="305">
        <f t="shared" si="20"/>
        <v>0</v>
      </c>
      <c r="H196" s="305">
        <f t="shared" si="20"/>
        <v>0</v>
      </c>
      <c r="I196" s="305">
        <f t="shared" si="20"/>
        <v>0</v>
      </c>
      <c r="J196" s="305">
        <f t="shared" si="20"/>
        <v>0</v>
      </c>
      <c r="K196" s="305">
        <f t="shared" si="20"/>
        <v>0</v>
      </c>
      <c r="L196" s="305">
        <f t="shared" si="20"/>
        <v>0</v>
      </c>
      <c r="M196" s="305">
        <f t="shared" si="20"/>
        <v>0</v>
      </c>
      <c r="N196" s="305">
        <f t="shared" si="20"/>
        <v>0</v>
      </c>
      <c r="O196" s="305">
        <f t="shared" si="20"/>
        <v>0</v>
      </c>
    </row>
    <row r="197" spans="1:15" ht="12.75" customHeight="1" outlineLevel="1">
      <c r="A197" s="7" t="s">
        <v>400</v>
      </c>
      <c r="B197" s="17"/>
      <c r="C197" s="305">
        <f aca="true" t="shared" si="21" ref="C197:O197">SUM(C193:C196)</f>
        <v>118000</v>
      </c>
      <c r="D197" s="305">
        <f t="shared" si="21"/>
        <v>1595000</v>
      </c>
      <c r="E197" s="305">
        <f t="shared" si="21"/>
        <v>1265000</v>
      </c>
      <c r="F197" s="305">
        <f t="shared" si="21"/>
        <v>645000</v>
      </c>
      <c r="G197" s="305">
        <f t="shared" si="21"/>
        <v>695000</v>
      </c>
      <c r="H197" s="305">
        <f t="shared" si="21"/>
        <v>595000</v>
      </c>
      <c r="I197" s="305">
        <f t="shared" si="21"/>
        <v>895000</v>
      </c>
      <c r="J197" s="305">
        <f t="shared" si="21"/>
        <v>375000</v>
      </c>
      <c r="K197" s="305">
        <f t="shared" si="21"/>
        <v>375000</v>
      </c>
      <c r="L197" s="305">
        <f t="shared" si="21"/>
        <v>375000</v>
      </c>
      <c r="M197" s="305">
        <f t="shared" si="21"/>
        <v>495000</v>
      </c>
      <c r="N197" s="305">
        <f t="shared" si="21"/>
        <v>495000</v>
      </c>
      <c r="O197" s="305">
        <f t="shared" si="21"/>
        <v>495000</v>
      </c>
    </row>
    <row r="198" spans="1:15" ht="12.75" customHeight="1">
      <c r="A198" s="1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1:15" s="167" customFormat="1" ht="15.75" customHeight="1">
      <c r="A199" s="166" t="s">
        <v>401</v>
      </c>
      <c r="B199" s="182"/>
      <c r="C199" s="186"/>
      <c r="D199" s="186"/>
      <c r="E199" s="186"/>
      <c r="K199" s="186"/>
      <c r="L199" s="186"/>
      <c r="M199" s="186"/>
      <c r="N199" s="186"/>
      <c r="O199" s="186"/>
    </row>
    <row r="200" ht="12.75" customHeight="1" outlineLevel="1"/>
    <row r="201" spans="1:15" s="10" customFormat="1" ht="15.75" customHeight="1" outlineLevel="1">
      <c r="A201" s="184" t="s">
        <v>402</v>
      </c>
      <c r="B201" s="302" t="s">
        <v>403</v>
      </c>
      <c r="C201" s="273" t="str">
        <f aca="true" t="shared" si="22" ref="C201:H201">C124</f>
        <v>11/2001</v>
      </c>
      <c r="D201" s="273" t="str">
        <f t="shared" si="22"/>
        <v>12/2001</v>
      </c>
      <c r="E201" s="273" t="str">
        <f t="shared" si="22"/>
        <v>1/2002</v>
      </c>
      <c r="F201" s="273" t="str">
        <f t="shared" si="22"/>
        <v>2/2002</v>
      </c>
      <c r="G201" s="273" t="str">
        <f t="shared" si="22"/>
        <v>3/2002</v>
      </c>
      <c r="H201" s="273" t="str">
        <f t="shared" si="22"/>
        <v>4/2002</v>
      </c>
      <c r="I201" s="273" t="str">
        <f aca="true" t="shared" si="23" ref="I201:O201">I124</f>
        <v>5/2002</v>
      </c>
      <c r="J201" s="273" t="str">
        <f t="shared" si="23"/>
        <v>6/2002</v>
      </c>
      <c r="K201" s="273" t="str">
        <f t="shared" si="23"/>
        <v>7/2002</v>
      </c>
      <c r="L201" s="273" t="str">
        <f t="shared" si="23"/>
        <v>8/2002</v>
      </c>
      <c r="M201" s="273" t="str">
        <f t="shared" si="23"/>
        <v>9/2002</v>
      </c>
      <c r="N201" s="273" t="str">
        <f t="shared" si="23"/>
        <v>10/2002</v>
      </c>
      <c r="O201" s="273" t="str">
        <f t="shared" si="23"/>
        <v>11/2002</v>
      </c>
    </row>
    <row r="202" spans="1:15" ht="12.75" customHeight="1" outlineLevel="1">
      <c r="A202" s="409" t="s">
        <v>50</v>
      </c>
      <c r="B202" s="303">
        <v>2</v>
      </c>
      <c r="C202" s="274"/>
      <c r="D202" s="274"/>
      <c r="E202" s="274">
        <v>20000</v>
      </c>
      <c r="F202" s="274">
        <v>20000</v>
      </c>
      <c r="G202" s="274">
        <v>20000</v>
      </c>
      <c r="H202" s="274">
        <v>20000</v>
      </c>
      <c r="I202" s="274">
        <v>20000</v>
      </c>
      <c r="J202" s="274">
        <v>20000</v>
      </c>
      <c r="K202" s="274">
        <v>20000</v>
      </c>
      <c r="L202" s="274">
        <v>20000</v>
      </c>
      <c r="M202" s="274">
        <v>20000</v>
      </c>
      <c r="N202" s="274">
        <v>20000</v>
      </c>
      <c r="O202" s="274">
        <v>20000</v>
      </c>
    </row>
    <row r="203" spans="1:15" ht="12.75" customHeight="1" outlineLevel="1">
      <c r="A203" s="409" t="s">
        <v>51</v>
      </c>
      <c r="B203" s="303">
        <v>2</v>
      </c>
      <c r="C203" s="24"/>
      <c r="D203" s="274">
        <v>15000</v>
      </c>
      <c r="E203" s="274">
        <v>15000</v>
      </c>
      <c r="F203" s="274">
        <v>15000</v>
      </c>
      <c r="G203" s="274">
        <v>15000</v>
      </c>
      <c r="H203" s="274">
        <v>15000</v>
      </c>
      <c r="I203" s="274">
        <v>15000</v>
      </c>
      <c r="J203" s="274">
        <v>15000</v>
      </c>
      <c r="K203" s="274">
        <v>15000</v>
      </c>
      <c r="L203" s="274">
        <v>15000</v>
      </c>
      <c r="M203" s="274">
        <v>15000</v>
      </c>
      <c r="N203" s="274">
        <v>15000</v>
      </c>
      <c r="O203" s="274">
        <v>15000</v>
      </c>
    </row>
    <row r="204" spans="1:15" ht="12.75" customHeight="1" outlineLevel="1">
      <c r="A204" s="409" t="s">
        <v>52</v>
      </c>
      <c r="B204" s="303">
        <v>1</v>
      </c>
      <c r="C204" s="24"/>
      <c r="D204" s="274"/>
      <c r="E204" s="274">
        <v>20000</v>
      </c>
      <c r="F204" s="274">
        <v>20000</v>
      </c>
      <c r="G204" s="274">
        <v>20000</v>
      </c>
      <c r="H204" s="274">
        <v>20000</v>
      </c>
      <c r="I204" s="274">
        <v>20000</v>
      </c>
      <c r="J204" s="274">
        <v>20000</v>
      </c>
      <c r="K204" s="274">
        <v>20000</v>
      </c>
      <c r="L204" s="274">
        <v>20000</v>
      </c>
      <c r="M204" s="274">
        <v>20000</v>
      </c>
      <c r="N204" s="274">
        <v>20000</v>
      </c>
      <c r="O204" s="274">
        <v>20000</v>
      </c>
    </row>
    <row r="205" spans="1:15" ht="12.75" customHeight="1" outlineLevel="1">
      <c r="A205" s="409" t="s">
        <v>53</v>
      </c>
      <c r="B205" s="303">
        <v>4</v>
      </c>
      <c r="C205" s="24"/>
      <c r="D205" s="274"/>
      <c r="E205" s="274">
        <v>15000</v>
      </c>
      <c r="F205" s="274">
        <v>15000</v>
      </c>
      <c r="G205" s="274">
        <v>15000</v>
      </c>
      <c r="H205" s="274">
        <v>15000</v>
      </c>
      <c r="I205" s="274">
        <v>15000</v>
      </c>
      <c r="J205" s="274">
        <v>15000</v>
      </c>
      <c r="K205" s="274">
        <v>15000</v>
      </c>
      <c r="L205" s="274">
        <v>15000</v>
      </c>
      <c r="M205" s="274">
        <v>15000</v>
      </c>
      <c r="N205" s="274">
        <v>15000</v>
      </c>
      <c r="O205" s="274">
        <v>15000</v>
      </c>
    </row>
    <row r="206" spans="1:15" ht="12.75" customHeight="1" outlineLevel="1">
      <c r="A206" s="409" t="s">
        <v>54</v>
      </c>
      <c r="B206" s="303">
        <v>4</v>
      </c>
      <c r="C206" s="24"/>
      <c r="D206" s="274"/>
      <c r="E206" s="274">
        <v>15000</v>
      </c>
      <c r="F206" s="274">
        <v>15000</v>
      </c>
      <c r="G206" s="274">
        <v>15000</v>
      </c>
      <c r="H206" s="274">
        <v>15000</v>
      </c>
      <c r="I206" s="274">
        <v>15000</v>
      </c>
      <c r="J206" s="274">
        <v>15000</v>
      </c>
      <c r="K206" s="274">
        <v>15000</v>
      </c>
      <c r="L206" s="274">
        <v>15000</v>
      </c>
      <c r="M206" s="274">
        <v>15000</v>
      </c>
      <c r="N206" s="274">
        <v>15000</v>
      </c>
      <c r="O206" s="274">
        <v>15000</v>
      </c>
    </row>
    <row r="207" spans="1:15" ht="12.75" customHeight="1" outlineLevel="1">
      <c r="A207" s="409" t="s">
        <v>55</v>
      </c>
      <c r="B207" s="303">
        <v>4</v>
      </c>
      <c r="C207" s="24"/>
      <c r="D207" s="274">
        <v>10000</v>
      </c>
      <c r="E207" s="274">
        <v>10000</v>
      </c>
      <c r="F207" s="274">
        <v>10000</v>
      </c>
      <c r="G207" s="274">
        <v>10000</v>
      </c>
      <c r="H207" s="274">
        <v>10000</v>
      </c>
      <c r="I207" s="274">
        <v>10000</v>
      </c>
      <c r="J207" s="274">
        <v>10000</v>
      </c>
      <c r="K207" s="274">
        <v>10000</v>
      </c>
      <c r="L207" s="274">
        <v>10000</v>
      </c>
      <c r="M207" s="274">
        <v>10000</v>
      </c>
      <c r="N207" s="274">
        <v>10000</v>
      </c>
      <c r="O207" s="274">
        <v>10000</v>
      </c>
    </row>
    <row r="208" spans="1:15" ht="12.75" customHeight="1" outlineLevel="1">
      <c r="A208" s="409" t="s">
        <v>56</v>
      </c>
      <c r="B208" s="303">
        <v>2</v>
      </c>
      <c r="C208" s="24">
        <v>0</v>
      </c>
      <c r="D208" s="274">
        <v>10000</v>
      </c>
      <c r="E208" s="274">
        <v>10000</v>
      </c>
      <c r="F208" s="274">
        <v>10000</v>
      </c>
      <c r="G208" s="274">
        <v>10000</v>
      </c>
      <c r="H208" s="274">
        <v>10000</v>
      </c>
      <c r="I208" s="274">
        <v>10000</v>
      </c>
      <c r="J208" s="274">
        <v>10000</v>
      </c>
      <c r="K208" s="274">
        <v>10000</v>
      </c>
      <c r="L208" s="274">
        <v>10000</v>
      </c>
      <c r="M208" s="274">
        <v>10000</v>
      </c>
      <c r="N208" s="274">
        <v>10000</v>
      </c>
      <c r="O208" s="274">
        <v>10000</v>
      </c>
    </row>
    <row r="209" spans="1:15" ht="12.75" customHeight="1" outlineLevel="1">
      <c r="A209" s="409" t="s">
        <v>57</v>
      </c>
      <c r="B209" s="303">
        <v>2</v>
      </c>
      <c r="C209" s="24">
        <v>0</v>
      </c>
      <c r="D209" s="274">
        <v>15000</v>
      </c>
      <c r="E209" s="274">
        <v>15000</v>
      </c>
      <c r="F209" s="274">
        <v>15000</v>
      </c>
      <c r="G209" s="274">
        <v>15000</v>
      </c>
      <c r="H209" s="274">
        <v>15000</v>
      </c>
      <c r="I209" s="274">
        <v>15000</v>
      </c>
      <c r="J209" s="274">
        <v>15000</v>
      </c>
      <c r="K209" s="274">
        <v>15000</v>
      </c>
      <c r="L209" s="274">
        <v>15000</v>
      </c>
      <c r="M209" s="274">
        <v>15000</v>
      </c>
      <c r="N209" s="274">
        <v>15000</v>
      </c>
      <c r="O209" s="274">
        <v>15000</v>
      </c>
    </row>
    <row r="210" spans="1:15" ht="12.75" customHeight="1" outlineLevel="1">
      <c r="A210" s="409" t="s">
        <v>84</v>
      </c>
      <c r="B210" s="303">
        <v>1</v>
      </c>
      <c r="C210" s="24">
        <v>0</v>
      </c>
      <c r="D210" s="274">
        <v>20000</v>
      </c>
      <c r="E210" s="274">
        <v>20000</v>
      </c>
      <c r="F210" s="274">
        <v>20000</v>
      </c>
      <c r="G210" s="274">
        <v>20000</v>
      </c>
      <c r="H210" s="274">
        <v>20000</v>
      </c>
      <c r="I210" s="274">
        <v>20000</v>
      </c>
      <c r="J210" s="274">
        <v>20000</v>
      </c>
      <c r="K210" s="274">
        <v>20000</v>
      </c>
      <c r="L210" s="274">
        <v>20000</v>
      </c>
      <c r="M210" s="274">
        <v>20000</v>
      </c>
      <c r="N210" s="274">
        <v>20000</v>
      </c>
      <c r="O210" s="274">
        <v>20000</v>
      </c>
    </row>
    <row r="211" spans="1:15" ht="12.75" customHeight="1" outlineLevel="1">
      <c r="A211" s="409" t="s">
        <v>85</v>
      </c>
      <c r="B211" s="303">
        <v>1</v>
      </c>
      <c r="C211" s="24">
        <v>0</v>
      </c>
      <c r="D211" s="274"/>
      <c r="E211" s="274">
        <v>20000</v>
      </c>
      <c r="F211" s="274">
        <v>20000</v>
      </c>
      <c r="G211" s="274">
        <v>20000</v>
      </c>
      <c r="H211" s="274">
        <v>20000</v>
      </c>
      <c r="I211" s="274">
        <v>20000</v>
      </c>
      <c r="J211" s="274">
        <v>20000</v>
      </c>
      <c r="K211" s="274">
        <v>20000</v>
      </c>
      <c r="L211" s="274">
        <v>20000</v>
      </c>
      <c r="M211" s="274">
        <v>20000</v>
      </c>
      <c r="N211" s="274">
        <v>20000</v>
      </c>
      <c r="O211" s="274">
        <v>20000</v>
      </c>
    </row>
    <row r="212" spans="1:15" ht="12.75" customHeight="1" outlineLevel="1">
      <c r="A212" s="409" t="s">
        <v>86</v>
      </c>
      <c r="B212" s="303">
        <v>1</v>
      </c>
      <c r="C212" s="24">
        <v>0</v>
      </c>
      <c r="D212" s="274">
        <v>10000</v>
      </c>
      <c r="E212" s="274">
        <v>10000</v>
      </c>
      <c r="F212" s="274">
        <v>10000</v>
      </c>
      <c r="G212" s="274">
        <v>10000</v>
      </c>
      <c r="H212" s="274">
        <v>10000</v>
      </c>
      <c r="I212" s="274">
        <v>10000</v>
      </c>
      <c r="J212" s="274">
        <v>10000</v>
      </c>
      <c r="K212" s="274">
        <v>10000</v>
      </c>
      <c r="L212" s="274">
        <v>10000</v>
      </c>
      <c r="M212" s="274">
        <v>10000</v>
      </c>
      <c r="N212" s="274">
        <v>10000</v>
      </c>
      <c r="O212" s="274">
        <v>10000</v>
      </c>
    </row>
    <row r="213" spans="1:15" ht="12.75" customHeight="1" outlineLevel="1">
      <c r="A213" s="410" t="s">
        <v>87</v>
      </c>
      <c r="B213" s="303">
        <v>1</v>
      </c>
      <c r="C213" s="24">
        <v>0</v>
      </c>
      <c r="D213" s="274">
        <v>20000</v>
      </c>
      <c r="E213" s="274">
        <v>20000</v>
      </c>
      <c r="F213" s="274">
        <v>20000</v>
      </c>
      <c r="G213" s="274">
        <v>20000</v>
      </c>
      <c r="H213" s="274">
        <v>20000</v>
      </c>
      <c r="I213" s="274">
        <v>20000</v>
      </c>
      <c r="J213" s="274">
        <v>20000</v>
      </c>
      <c r="K213" s="274">
        <v>20000</v>
      </c>
      <c r="L213" s="274">
        <v>20000</v>
      </c>
      <c r="M213" s="274">
        <v>20000</v>
      </c>
      <c r="N213" s="274">
        <v>20000</v>
      </c>
      <c r="O213" s="274">
        <v>20000</v>
      </c>
    </row>
    <row r="214" spans="1:15" ht="12.75" customHeight="1" outlineLevel="1">
      <c r="A214" s="410" t="s">
        <v>88</v>
      </c>
      <c r="B214" s="303">
        <v>1</v>
      </c>
      <c r="C214" s="24">
        <v>0</v>
      </c>
      <c r="D214" s="274">
        <v>80000</v>
      </c>
      <c r="E214" s="274">
        <v>80000</v>
      </c>
      <c r="F214" s="274">
        <v>80000</v>
      </c>
      <c r="G214" s="274">
        <v>80000</v>
      </c>
      <c r="H214" s="274">
        <v>80000</v>
      </c>
      <c r="I214" s="274">
        <v>80000</v>
      </c>
      <c r="J214" s="274">
        <v>80000</v>
      </c>
      <c r="K214" s="274">
        <v>80000</v>
      </c>
      <c r="L214" s="274">
        <v>80000</v>
      </c>
      <c r="M214" s="274">
        <v>80000</v>
      </c>
      <c r="N214" s="274">
        <v>80000</v>
      </c>
      <c r="O214" s="274">
        <v>80000</v>
      </c>
    </row>
    <row r="215" spans="1:15" ht="12.75" customHeight="1" outlineLevel="1">
      <c r="A215" s="410" t="s">
        <v>220</v>
      </c>
      <c r="B215" s="303">
        <v>1</v>
      </c>
      <c r="C215" s="24">
        <v>0</v>
      </c>
      <c r="D215" s="274">
        <v>10000</v>
      </c>
      <c r="E215" s="274">
        <v>10000</v>
      </c>
      <c r="F215" s="274">
        <v>10000</v>
      </c>
      <c r="G215" s="274">
        <v>10000</v>
      </c>
      <c r="H215" s="274">
        <v>10000</v>
      </c>
      <c r="I215" s="274">
        <v>10000</v>
      </c>
      <c r="J215" s="274">
        <v>10000</v>
      </c>
      <c r="K215" s="274">
        <v>10000</v>
      </c>
      <c r="L215" s="274">
        <v>10000</v>
      </c>
      <c r="M215" s="274">
        <v>10000</v>
      </c>
      <c r="N215" s="274">
        <v>10000</v>
      </c>
      <c r="O215" s="274">
        <v>10000</v>
      </c>
    </row>
    <row r="216" spans="1:15" ht="12.75" customHeight="1" outlineLevel="1">
      <c r="A216" s="286"/>
      <c r="B216" s="303">
        <v>1</v>
      </c>
      <c r="C216" s="24">
        <v>0</v>
      </c>
      <c r="D216" s="274" t="s">
        <v>170</v>
      </c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</row>
    <row r="217" spans="1:15" ht="12.75" customHeight="1" outlineLevel="1">
      <c r="A217" s="286"/>
      <c r="B217" s="303">
        <v>1</v>
      </c>
      <c r="C217" s="24">
        <v>0</v>
      </c>
      <c r="D217" s="274" t="s">
        <v>170</v>
      </c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</row>
    <row r="218" spans="1:15" ht="12.75" customHeight="1" outlineLevel="1">
      <c r="A218" s="286"/>
      <c r="B218" s="303">
        <v>1</v>
      </c>
      <c r="C218" s="24">
        <v>0</v>
      </c>
      <c r="D218" s="274" t="s">
        <v>170</v>
      </c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</row>
    <row r="219" spans="1:15" ht="12.75" customHeight="1" outlineLevel="1">
      <c r="A219" s="286"/>
      <c r="B219" s="303">
        <v>1</v>
      </c>
      <c r="C219" s="24">
        <v>0</v>
      </c>
      <c r="D219" s="274" t="s">
        <v>170</v>
      </c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</row>
    <row r="220" ht="12.75" customHeight="1" outlineLevel="1">
      <c r="A220" s="14"/>
    </row>
    <row r="221" spans="1:15" s="10" customFormat="1" ht="15.75" customHeight="1" outlineLevel="1">
      <c r="A221" s="184" t="s">
        <v>404</v>
      </c>
      <c r="B221" s="302" t="s">
        <v>403</v>
      </c>
      <c r="C221" s="273" t="str">
        <f aca="true" t="shared" si="24" ref="C221:H221">C124</f>
        <v>11/2001</v>
      </c>
      <c r="D221" s="273" t="str">
        <f t="shared" si="24"/>
        <v>12/2001</v>
      </c>
      <c r="E221" s="273" t="str">
        <f t="shared" si="24"/>
        <v>1/2002</v>
      </c>
      <c r="F221" s="273" t="str">
        <f t="shared" si="24"/>
        <v>2/2002</v>
      </c>
      <c r="G221" s="273" t="str">
        <f t="shared" si="24"/>
        <v>3/2002</v>
      </c>
      <c r="H221" s="273" t="str">
        <f t="shared" si="24"/>
        <v>4/2002</v>
      </c>
      <c r="I221" s="273" t="str">
        <f aca="true" t="shared" si="25" ref="I221:O221">I124</f>
        <v>5/2002</v>
      </c>
      <c r="J221" s="273" t="str">
        <f t="shared" si="25"/>
        <v>6/2002</v>
      </c>
      <c r="K221" s="273" t="str">
        <f t="shared" si="25"/>
        <v>7/2002</v>
      </c>
      <c r="L221" s="273" t="str">
        <f t="shared" si="25"/>
        <v>8/2002</v>
      </c>
      <c r="M221" s="273" t="str">
        <f t="shared" si="25"/>
        <v>9/2002</v>
      </c>
      <c r="N221" s="273" t="str">
        <f t="shared" si="25"/>
        <v>10/2002</v>
      </c>
      <c r="O221" s="273" t="str">
        <f t="shared" si="25"/>
        <v>11/2002</v>
      </c>
    </row>
    <row r="222" spans="1:15" ht="12.75" customHeight="1" outlineLevel="1">
      <c r="A222" s="409" t="s">
        <v>456</v>
      </c>
      <c r="B222" s="303">
        <v>4</v>
      </c>
      <c r="C222" s="274"/>
      <c r="D222" s="274"/>
      <c r="E222" s="274">
        <v>0</v>
      </c>
      <c r="F222" s="274">
        <v>0</v>
      </c>
      <c r="G222" s="274">
        <v>0</v>
      </c>
      <c r="H222" s="274">
        <v>0</v>
      </c>
      <c r="I222" s="274">
        <v>0</v>
      </c>
      <c r="J222" s="274">
        <v>0</v>
      </c>
      <c r="K222" s="274">
        <v>0</v>
      </c>
      <c r="L222" s="274">
        <v>0</v>
      </c>
      <c r="M222" s="274">
        <v>0</v>
      </c>
      <c r="N222" s="274">
        <v>0</v>
      </c>
      <c r="O222" s="274">
        <v>0</v>
      </c>
    </row>
    <row r="223" spans="1:15" ht="12.75" customHeight="1" outlineLevel="1">
      <c r="A223" s="409" t="s">
        <v>221</v>
      </c>
      <c r="B223" s="303">
        <v>1</v>
      </c>
      <c r="C223" s="24"/>
      <c r="D223" s="24"/>
      <c r="E223" s="24">
        <v>20000</v>
      </c>
      <c r="F223" s="24">
        <v>20000</v>
      </c>
      <c r="G223" s="24">
        <v>20000</v>
      </c>
      <c r="H223" s="24">
        <v>20000</v>
      </c>
      <c r="I223" s="24">
        <v>20000</v>
      </c>
      <c r="J223" s="24">
        <v>20000</v>
      </c>
      <c r="K223" s="24">
        <v>20000</v>
      </c>
      <c r="L223" s="24">
        <v>20000</v>
      </c>
      <c r="M223" s="24">
        <v>20000</v>
      </c>
      <c r="N223" s="24">
        <v>20000</v>
      </c>
      <c r="O223" s="24">
        <v>20000</v>
      </c>
    </row>
    <row r="224" spans="1:15" ht="12.75" customHeight="1" outlineLevel="1">
      <c r="A224" s="409" t="s">
        <v>222</v>
      </c>
      <c r="B224" s="303">
        <v>2</v>
      </c>
      <c r="C224" s="24"/>
      <c r="D224" s="24"/>
      <c r="E224" s="24">
        <v>10000</v>
      </c>
      <c r="F224" s="24">
        <v>10000</v>
      </c>
      <c r="G224" s="24">
        <v>10000</v>
      </c>
      <c r="H224" s="24">
        <v>10000</v>
      </c>
      <c r="I224" s="24">
        <v>10000</v>
      </c>
      <c r="J224" s="24">
        <v>10000</v>
      </c>
      <c r="K224" s="24">
        <v>10000</v>
      </c>
      <c r="L224" s="24">
        <v>10000</v>
      </c>
      <c r="M224" s="24">
        <v>10000</v>
      </c>
      <c r="N224" s="24">
        <v>10000</v>
      </c>
      <c r="O224" s="24">
        <v>10000</v>
      </c>
    </row>
    <row r="225" spans="1:15" ht="12.75" customHeight="1" outlineLevel="1">
      <c r="A225" s="409" t="s">
        <v>223</v>
      </c>
      <c r="B225" s="303">
        <v>1</v>
      </c>
      <c r="C225" s="24"/>
      <c r="D225" s="24"/>
      <c r="E225" s="24">
        <v>20000</v>
      </c>
      <c r="F225" s="24">
        <v>20000</v>
      </c>
      <c r="G225" s="24">
        <v>20000</v>
      </c>
      <c r="H225" s="24">
        <v>20000</v>
      </c>
      <c r="I225" s="24">
        <v>20000</v>
      </c>
      <c r="J225" s="24">
        <v>20000</v>
      </c>
      <c r="K225" s="24">
        <v>20000</v>
      </c>
      <c r="L225" s="24">
        <v>20000</v>
      </c>
      <c r="M225" s="24">
        <v>20000</v>
      </c>
      <c r="N225" s="24">
        <v>20000</v>
      </c>
      <c r="O225" s="24">
        <v>20000</v>
      </c>
    </row>
    <row r="226" spans="1:15" ht="12.75" customHeight="1" outlineLevel="1">
      <c r="A226" s="409" t="s">
        <v>103</v>
      </c>
      <c r="B226" s="303">
        <v>2</v>
      </c>
      <c r="C226" s="24"/>
      <c r="D226" s="24"/>
      <c r="E226" s="24">
        <v>20000</v>
      </c>
      <c r="F226" s="24">
        <v>20000</v>
      </c>
      <c r="G226" s="24">
        <v>20000</v>
      </c>
      <c r="H226" s="24">
        <v>20000</v>
      </c>
      <c r="I226" s="24">
        <v>20000</v>
      </c>
      <c r="J226" s="24">
        <v>20000</v>
      </c>
      <c r="K226" s="24">
        <v>20000</v>
      </c>
      <c r="L226" s="24">
        <v>20000</v>
      </c>
      <c r="M226" s="24">
        <v>20000</v>
      </c>
      <c r="N226" s="24">
        <v>20000</v>
      </c>
      <c r="O226" s="24">
        <v>20000</v>
      </c>
    </row>
    <row r="227" spans="1:15" ht="12.75" customHeight="1" outlineLevel="1">
      <c r="A227" s="409" t="s">
        <v>104</v>
      </c>
      <c r="B227" s="303">
        <v>1</v>
      </c>
      <c r="C227" s="24"/>
      <c r="D227" s="24"/>
      <c r="E227" s="24">
        <v>50000</v>
      </c>
      <c r="F227" s="24">
        <v>50000</v>
      </c>
      <c r="G227" s="24">
        <v>50000</v>
      </c>
      <c r="H227" s="24">
        <v>50000</v>
      </c>
      <c r="I227" s="24">
        <v>50000</v>
      </c>
      <c r="J227" s="24">
        <v>50000</v>
      </c>
      <c r="K227" s="24">
        <v>50000</v>
      </c>
      <c r="L227" s="24">
        <v>50000</v>
      </c>
      <c r="M227" s="24">
        <v>50000</v>
      </c>
      <c r="N227" s="24">
        <v>50000</v>
      </c>
      <c r="O227" s="24">
        <v>50000</v>
      </c>
    </row>
    <row r="228" spans="1:15" ht="12.75" customHeight="1" outlineLevel="1">
      <c r="A228" s="409" t="s">
        <v>154</v>
      </c>
      <c r="B228" s="303">
        <v>4</v>
      </c>
      <c r="C228" s="24"/>
      <c r="D228" s="24"/>
      <c r="E228" s="24">
        <v>5000</v>
      </c>
      <c r="F228" s="24">
        <v>5000</v>
      </c>
      <c r="G228" s="24">
        <v>5000</v>
      </c>
      <c r="H228" s="24">
        <v>5000</v>
      </c>
      <c r="I228" s="24">
        <v>5000</v>
      </c>
      <c r="J228" s="24">
        <v>5000</v>
      </c>
      <c r="K228" s="24">
        <v>5000</v>
      </c>
      <c r="L228" s="24">
        <v>5000</v>
      </c>
      <c r="M228" s="24">
        <v>5000</v>
      </c>
      <c r="N228" s="24">
        <v>5000</v>
      </c>
      <c r="O228" s="24">
        <v>5000</v>
      </c>
    </row>
    <row r="229" spans="1:15" ht="12.75" customHeight="1" outlineLevel="1">
      <c r="A229" s="409" t="s">
        <v>105</v>
      </c>
      <c r="B229" s="303">
        <v>1</v>
      </c>
      <c r="C229" s="24"/>
      <c r="D229" s="24"/>
      <c r="E229" s="24">
        <v>20000</v>
      </c>
      <c r="F229" s="24">
        <v>20000</v>
      </c>
      <c r="G229" s="24">
        <v>20000</v>
      </c>
      <c r="H229" s="24">
        <v>20000</v>
      </c>
      <c r="I229" s="24">
        <v>20000</v>
      </c>
      <c r="J229" s="24">
        <v>20000</v>
      </c>
      <c r="K229" s="24">
        <v>20000</v>
      </c>
      <c r="L229" s="24">
        <v>20000</v>
      </c>
      <c r="M229" s="24">
        <v>20000</v>
      </c>
      <c r="N229" s="24">
        <v>20000</v>
      </c>
      <c r="O229" s="24">
        <v>20000</v>
      </c>
    </row>
    <row r="230" spans="1:15" ht="12.75" customHeight="1" outlineLevel="1">
      <c r="A230" s="409" t="s">
        <v>153</v>
      </c>
      <c r="B230" s="303">
        <v>1</v>
      </c>
      <c r="C230" s="24"/>
      <c r="D230" s="24"/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</row>
    <row r="231" spans="1:15" ht="12.75" customHeight="1" outlineLevel="1">
      <c r="A231" s="409" t="s">
        <v>111</v>
      </c>
      <c r="B231" s="303">
        <v>1</v>
      </c>
      <c r="C231" s="24"/>
      <c r="D231" s="274"/>
      <c r="E231" s="274">
        <v>45000</v>
      </c>
      <c r="F231" s="274">
        <v>45000</v>
      </c>
      <c r="G231" s="274">
        <v>45000</v>
      </c>
      <c r="H231" s="274">
        <v>45000</v>
      </c>
      <c r="I231" s="274">
        <v>45000</v>
      </c>
      <c r="J231" s="274">
        <v>45000</v>
      </c>
      <c r="K231" s="274">
        <v>45000</v>
      </c>
      <c r="L231" s="274">
        <v>45000</v>
      </c>
      <c r="M231" s="274">
        <v>45000</v>
      </c>
      <c r="N231" s="274">
        <v>45000</v>
      </c>
      <c r="O231" s="274">
        <v>45000</v>
      </c>
    </row>
    <row r="232" spans="1:15" ht="12.75" customHeight="1" outlineLevel="1">
      <c r="A232" s="409" t="s">
        <v>112</v>
      </c>
      <c r="B232" s="303">
        <v>1</v>
      </c>
      <c r="C232" s="24"/>
      <c r="D232" s="274"/>
      <c r="E232" s="274">
        <v>50000</v>
      </c>
      <c r="F232" s="274">
        <v>50000</v>
      </c>
      <c r="G232" s="274">
        <v>50000</v>
      </c>
      <c r="H232" s="274">
        <v>50000</v>
      </c>
      <c r="I232" s="274">
        <v>50000</v>
      </c>
      <c r="J232" s="274">
        <v>50000</v>
      </c>
      <c r="K232" s="274">
        <v>50000</v>
      </c>
      <c r="L232" s="274">
        <v>50000</v>
      </c>
      <c r="M232" s="274">
        <v>50000</v>
      </c>
      <c r="N232" s="274">
        <v>50000</v>
      </c>
      <c r="O232" s="274">
        <v>50000</v>
      </c>
    </row>
    <row r="233" spans="1:15" ht="12.75" customHeight="1" outlineLevel="1">
      <c r="A233" s="286" t="s">
        <v>113</v>
      </c>
      <c r="B233" s="303">
        <v>1</v>
      </c>
      <c r="C233" s="24"/>
      <c r="D233" s="274"/>
      <c r="E233" s="274">
        <v>50000</v>
      </c>
      <c r="F233" s="274">
        <v>50000</v>
      </c>
      <c r="G233" s="274">
        <v>50000</v>
      </c>
      <c r="H233" s="274">
        <v>50000</v>
      </c>
      <c r="I233" s="274">
        <v>50000</v>
      </c>
      <c r="J233" s="274">
        <v>50000</v>
      </c>
      <c r="K233" s="274">
        <v>50000</v>
      </c>
      <c r="L233" s="274">
        <v>50000</v>
      </c>
      <c r="M233" s="274">
        <v>50000</v>
      </c>
      <c r="N233" s="274">
        <v>50000</v>
      </c>
      <c r="O233" s="274">
        <v>50000</v>
      </c>
    </row>
    <row r="234" ht="12.75" customHeight="1" outlineLevel="1">
      <c r="A234" s="14"/>
    </row>
    <row r="235" spans="1:15" s="10" customFormat="1" ht="15.75" customHeight="1" outlineLevel="1">
      <c r="A235" s="184" t="s">
        <v>405</v>
      </c>
      <c r="B235" s="302" t="s">
        <v>403</v>
      </c>
      <c r="C235" s="273" t="str">
        <f aca="true" t="shared" si="26" ref="C235:H235">C124</f>
        <v>11/2001</v>
      </c>
      <c r="D235" s="273" t="str">
        <f t="shared" si="26"/>
        <v>12/2001</v>
      </c>
      <c r="E235" s="273" t="str">
        <f t="shared" si="26"/>
        <v>1/2002</v>
      </c>
      <c r="F235" s="273" t="str">
        <f t="shared" si="26"/>
        <v>2/2002</v>
      </c>
      <c r="G235" s="273" t="str">
        <f t="shared" si="26"/>
        <v>3/2002</v>
      </c>
      <c r="H235" s="273" t="str">
        <f t="shared" si="26"/>
        <v>4/2002</v>
      </c>
      <c r="I235" s="273" t="str">
        <f aca="true" t="shared" si="27" ref="I235:O235">I124</f>
        <v>5/2002</v>
      </c>
      <c r="J235" s="273" t="str">
        <f t="shared" si="27"/>
        <v>6/2002</v>
      </c>
      <c r="K235" s="273" t="str">
        <f t="shared" si="27"/>
        <v>7/2002</v>
      </c>
      <c r="L235" s="273" t="str">
        <f t="shared" si="27"/>
        <v>8/2002</v>
      </c>
      <c r="M235" s="273" t="str">
        <f t="shared" si="27"/>
        <v>9/2002</v>
      </c>
      <c r="N235" s="273" t="str">
        <f t="shared" si="27"/>
        <v>10/2002</v>
      </c>
      <c r="O235" s="273" t="str">
        <f t="shared" si="27"/>
        <v>11/2002</v>
      </c>
    </row>
    <row r="236" spans="1:15" ht="12.75" customHeight="1" outlineLevel="1">
      <c r="A236" s="286" t="s">
        <v>106</v>
      </c>
      <c r="B236" s="303">
        <v>2</v>
      </c>
      <c r="C236" s="274">
        <v>15000</v>
      </c>
      <c r="D236" s="274">
        <v>15000</v>
      </c>
      <c r="E236" s="274">
        <v>15000</v>
      </c>
      <c r="F236" s="274">
        <v>15000</v>
      </c>
      <c r="G236" s="274">
        <v>15000</v>
      </c>
      <c r="H236" s="274">
        <v>15000</v>
      </c>
      <c r="I236" s="274">
        <v>15000</v>
      </c>
      <c r="J236" s="274">
        <v>15000</v>
      </c>
      <c r="K236" s="274">
        <v>15000</v>
      </c>
      <c r="L236" s="274">
        <v>15000</v>
      </c>
      <c r="M236" s="274">
        <v>15000</v>
      </c>
      <c r="N236" s="274">
        <v>15000</v>
      </c>
      <c r="O236" s="274">
        <v>15000</v>
      </c>
    </row>
    <row r="237" spans="1:15" ht="12.75" customHeight="1" outlineLevel="1">
      <c r="A237" s="286" t="s">
        <v>107</v>
      </c>
      <c r="B237" s="303">
        <v>2</v>
      </c>
      <c r="C237" s="24"/>
      <c r="D237" s="274"/>
      <c r="E237" s="274">
        <v>10000</v>
      </c>
      <c r="F237" s="274">
        <v>10000</v>
      </c>
      <c r="G237" s="274">
        <v>10000</v>
      </c>
      <c r="H237" s="274">
        <v>10000</v>
      </c>
      <c r="I237" s="274">
        <v>10000</v>
      </c>
      <c r="J237" s="274">
        <v>10000</v>
      </c>
      <c r="K237" s="274">
        <v>10000</v>
      </c>
      <c r="L237" s="274">
        <v>10000</v>
      </c>
      <c r="M237" s="274">
        <v>10000</v>
      </c>
      <c r="N237" s="274">
        <v>10000</v>
      </c>
      <c r="O237" s="274">
        <v>10000</v>
      </c>
    </row>
    <row r="238" spans="1:15" ht="12.75" customHeight="1" outlineLevel="1">
      <c r="A238" s="286" t="s">
        <v>82</v>
      </c>
      <c r="B238" s="303">
        <v>1</v>
      </c>
      <c r="C238" s="24">
        <v>0</v>
      </c>
      <c r="D238" s="274" t="s">
        <v>170</v>
      </c>
      <c r="E238" s="274">
        <v>60000</v>
      </c>
      <c r="F238" s="274">
        <v>60000</v>
      </c>
      <c r="G238" s="274">
        <v>60000</v>
      </c>
      <c r="H238" s="274">
        <v>60000</v>
      </c>
      <c r="I238" s="274">
        <v>60000</v>
      </c>
      <c r="J238" s="274">
        <v>60000</v>
      </c>
      <c r="K238" s="274">
        <v>60000</v>
      </c>
      <c r="L238" s="274">
        <v>60000</v>
      </c>
      <c r="M238" s="274">
        <v>60000</v>
      </c>
      <c r="N238" s="274">
        <v>60000</v>
      </c>
      <c r="O238" s="274">
        <v>60000</v>
      </c>
    </row>
    <row r="239" spans="1:15" ht="12.75" customHeight="1" outlineLevel="1">
      <c r="A239" s="286"/>
      <c r="B239" s="303">
        <v>1</v>
      </c>
      <c r="C239" s="24">
        <v>0</v>
      </c>
      <c r="D239" s="274" t="s">
        <v>170</v>
      </c>
      <c r="E239" s="274"/>
      <c r="F239" s="274"/>
      <c r="G239" s="274"/>
      <c r="H239" s="274"/>
      <c r="I239" s="274"/>
      <c r="J239" s="274"/>
      <c r="K239" s="274"/>
      <c r="L239" s="274"/>
      <c r="M239" s="274"/>
      <c r="N239" s="274"/>
      <c r="O239" s="274"/>
    </row>
    <row r="240" spans="1:15" ht="12.75" customHeight="1" outlineLevel="1">
      <c r="A240" s="286" t="s">
        <v>80</v>
      </c>
      <c r="B240" s="303">
        <v>1</v>
      </c>
      <c r="C240" s="24">
        <v>0</v>
      </c>
      <c r="D240" s="274" t="s">
        <v>170</v>
      </c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</row>
    <row r="241" spans="1:15" ht="12.75" customHeight="1" outlineLevel="1">
      <c r="A241" s="286" t="s">
        <v>80</v>
      </c>
      <c r="B241" s="303">
        <v>1</v>
      </c>
      <c r="C241" s="24">
        <v>0</v>
      </c>
      <c r="D241" s="274" t="s">
        <v>170</v>
      </c>
      <c r="E241" s="274"/>
      <c r="F241" s="274"/>
      <c r="G241" s="274"/>
      <c r="H241" s="274"/>
      <c r="I241" s="274"/>
      <c r="J241" s="274"/>
      <c r="K241" s="274"/>
      <c r="L241" s="274"/>
      <c r="M241" s="274"/>
      <c r="N241" s="274"/>
      <c r="O241" s="274"/>
    </row>
    <row r="242" spans="1:15" ht="12.75" customHeight="1" outlineLevel="1">
      <c r="A242" s="286" t="s">
        <v>80</v>
      </c>
      <c r="B242" s="303">
        <v>1</v>
      </c>
      <c r="C242" s="24">
        <v>0</v>
      </c>
      <c r="D242" s="274" t="s">
        <v>170</v>
      </c>
      <c r="E242" s="274"/>
      <c r="F242" s="274"/>
      <c r="G242" s="274"/>
      <c r="H242" s="274"/>
      <c r="I242" s="274"/>
      <c r="J242" s="274"/>
      <c r="K242" s="274"/>
      <c r="L242" s="274"/>
      <c r="M242" s="274"/>
      <c r="N242" s="274"/>
      <c r="O242" s="274"/>
    </row>
    <row r="243" ht="12.75" customHeight="1" outlineLevel="1">
      <c r="A243" s="14"/>
    </row>
    <row r="244" spans="1:15" s="10" customFormat="1" ht="15.75" customHeight="1" outlineLevel="1">
      <c r="A244" s="184" t="s">
        <v>406</v>
      </c>
      <c r="B244" s="194" t="str">
        <f>CURRENCY_NAME</f>
        <v>руб.</v>
      </c>
      <c r="C244" s="273" t="str">
        <f aca="true" t="shared" si="28" ref="C244:H244">C124</f>
        <v>11/2001</v>
      </c>
      <c r="D244" s="273" t="str">
        <f t="shared" si="28"/>
        <v>12/2001</v>
      </c>
      <c r="E244" s="273" t="str">
        <f t="shared" si="28"/>
        <v>1/2002</v>
      </c>
      <c r="F244" s="273" t="str">
        <f t="shared" si="28"/>
        <v>2/2002</v>
      </c>
      <c r="G244" s="273" t="str">
        <f t="shared" si="28"/>
        <v>3/2002</v>
      </c>
      <c r="H244" s="273" t="str">
        <f t="shared" si="28"/>
        <v>4/2002</v>
      </c>
      <c r="I244" s="273" t="str">
        <f aca="true" t="shared" si="29" ref="I244:O244">I124</f>
        <v>5/2002</v>
      </c>
      <c r="J244" s="273" t="str">
        <f t="shared" si="29"/>
        <v>6/2002</v>
      </c>
      <c r="K244" s="273" t="str">
        <f t="shared" si="29"/>
        <v>7/2002</v>
      </c>
      <c r="L244" s="273" t="str">
        <f t="shared" si="29"/>
        <v>8/2002</v>
      </c>
      <c r="M244" s="273" t="str">
        <f t="shared" si="29"/>
        <v>9/2002</v>
      </c>
      <c r="N244" s="273" t="str">
        <f t="shared" si="29"/>
        <v>10/2002</v>
      </c>
      <c r="O244" s="273" t="str">
        <f t="shared" si="29"/>
        <v>11/2002</v>
      </c>
    </row>
    <row r="245" spans="1:15" ht="12.75" customHeight="1" outlineLevel="1">
      <c r="A245" s="7" t="s">
        <v>402</v>
      </c>
      <c r="B245" s="17"/>
      <c r="C245" s="304"/>
      <c r="D245" s="304"/>
      <c r="E245" s="304"/>
      <c r="F245" s="304">
        <f>Inside!H361</f>
        <v>460000</v>
      </c>
      <c r="G245" s="304">
        <f>Inside!I361</f>
        <v>460000</v>
      </c>
      <c r="H245" s="304">
        <f>Inside!J361</f>
        <v>460000</v>
      </c>
      <c r="I245" s="304">
        <f>Inside!K361</f>
        <v>460000</v>
      </c>
      <c r="J245" s="304">
        <f>Inside!L361</f>
        <v>460000</v>
      </c>
      <c r="K245" s="304">
        <f>Inside!M361</f>
        <v>460000</v>
      </c>
      <c r="L245" s="304">
        <f>Inside!N361</f>
        <v>460000</v>
      </c>
      <c r="M245" s="304">
        <f>Inside!O361</f>
        <v>460000</v>
      </c>
      <c r="N245" s="304">
        <f>Inside!P361</f>
        <v>460000</v>
      </c>
      <c r="O245" s="304">
        <f>Inside!Q361</f>
        <v>460000</v>
      </c>
    </row>
    <row r="246" spans="1:15" ht="12.75" customHeight="1" outlineLevel="1">
      <c r="A246" s="7" t="s">
        <v>404</v>
      </c>
      <c r="B246" s="17"/>
      <c r="C246" s="305">
        <f>Inside!E375</f>
        <v>0</v>
      </c>
      <c r="D246" s="305">
        <f>Inside!F375</f>
        <v>0</v>
      </c>
      <c r="E246" s="305">
        <f>Inside!G375</f>
        <v>335000</v>
      </c>
      <c r="F246" s="305">
        <f>Inside!H375</f>
        <v>335000</v>
      </c>
      <c r="G246" s="305">
        <f>Inside!I375</f>
        <v>335000</v>
      </c>
      <c r="H246" s="305">
        <f>Inside!J375</f>
        <v>335000</v>
      </c>
      <c r="I246" s="305">
        <f>Inside!K375</f>
        <v>335000</v>
      </c>
      <c r="J246" s="305">
        <f>Inside!L375</f>
        <v>335000</v>
      </c>
      <c r="K246" s="305">
        <f>Inside!M375</f>
        <v>335000</v>
      </c>
      <c r="L246" s="305">
        <f>Inside!N375</f>
        <v>335000</v>
      </c>
      <c r="M246" s="305">
        <f>Inside!O375</f>
        <v>335000</v>
      </c>
      <c r="N246" s="305">
        <f>Inside!P375</f>
        <v>335000</v>
      </c>
      <c r="O246" s="305">
        <f>Inside!Q375</f>
        <v>335000</v>
      </c>
    </row>
    <row r="247" spans="1:15" ht="12.75" customHeight="1" outlineLevel="1">
      <c r="A247" s="7" t="s">
        <v>405</v>
      </c>
      <c r="B247" s="17"/>
      <c r="C247" s="305"/>
      <c r="D247" s="305"/>
      <c r="E247" s="305">
        <f>Inside!G384</f>
        <v>50000</v>
      </c>
      <c r="F247" s="305">
        <f>Inside!H384</f>
        <v>50000</v>
      </c>
      <c r="G247" s="305">
        <f>Inside!I384</f>
        <v>50000</v>
      </c>
      <c r="H247" s="305">
        <f>Inside!J384</f>
        <v>50000</v>
      </c>
      <c r="I247" s="305">
        <f>Inside!K384</f>
        <v>50000</v>
      </c>
      <c r="J247" s="305">
        <f>Inside!L384</f>
        <v>50000</v>
      </c>
      <c r="K247" s="305">
        <f>Inside!M384</f>
        <v>50000</v>
      </c>
      <c r="L247" s="305">
        <f>Inside!N384</f>
        <v>50000</v>
      </c>
      <c r="M247" s="305">
        <f>Inside!O384</f>
        <v>50000</v>
      </c>
      <c r="N247" s="305">
        <f>Inside!P384</f>
        <v>50000</v>
      </c>
      <c r="O247" s="305">
        <f>Inside!Q384</f>
        <v>50000</v>
      </c>
    </row>
    <row r="248" spans="1:15" ht="12.75" customHeight="1" outlineLevel="1">
      <c r="A248" s="7" t="s">
        <v>400</v>
      </c>
      <c r="B248" s="17"/>
      <c r="C248" s="305">
        <f aca="true" t="shared" si="30" ref="C248:H248">SUM(C245:C247)</f>
        <v>0</v>
      </c>
      <c r="D248" s="305">
        <f t="shared" si="30"/>
        <v>0</v>
      </c>
      <c r="E248" s="305">
        <f t="shared" si="30"/>
        <v>385000</v>
      </c>
      <c r="F248" s="305">
        <f t="shared" si="30"/>
        <v>845000</v>
      </c>
      <c r="G248" s="305">
        <f t="shared" si="30"/>
        <v>845000</v>
      </c>
      <c r="H248" s="305">
        <f t="shared" si="30"/>
        <v>845000</v>
      </c>
      <c r="I248" s="305">
        <f aca="true" t="shared" si="31" ref="I248:O248">SUM(I245:I247)</f>
        <v>845000</v>
      </c>
      <c r="J248" s="305">
        <f t="shared" si="31"/>
        <v>845000</v>
      </c>
      <c r="K248" s="305">
        <f t="shared" si="31"/>
        <v>845000</v>
      </c>
      <c r="L248" s="305">
        <f t="shared" si="31"/>
        <v>845000</v>
      </c>
      <c r="M248" s="305">
        <f t="shared" si="31"/>
        <v>845000</v>
      </c>
      <c r="N248" s="305">
        <f t="shared" si="31"/>
        <v>845000</v>
      </c>
      <c r="O248" s="305">
        <f t="shared" si="31"/>
        <v>845000</v>
      </c>
    </row>
    <row r="249" ht="12.75" customHeight="1">
      <c r="A249" s="26"/>
    </row>
    <row r="250" spans="1:2" s="167" customFormat="1" ht="15.75" customHeight="1">
      <c r="A250" s="166" t="s">
        <v>407</v>
      </c>
      <c r="B250" s="182"/>
    </row>
    <row r="251" ht="12.75" customHeight="1" outlineLevel="1">
      <c r="A251" s="26"/>
    </row>
    <row r="252" spans="1:3" ht="12.75" customHeight="1" outlineLevel="1">
      <c r="A252" s="27" t="s">
        <v>551</v>
      </c>
      <c r="B252" s="28" t="str">
        <f>IF(MIN('Кэш-фло'!A25:C25)&lt;0,CURRENCY_NAME," ")</f>
        <v> </v>
      </c>
      <c r="C252" s="28" t="str">
        <f>IF(MIN('Кэш-фло'!B25:D25)&lt;0,CURRENCY_NAME," ")</f>
        <v>руб.</v>
      </c>
    </row>
    <row r="253" ht="12.75" customHeight="1" outlineLevel="1">
      <c r="A253" s="26"/>
    </row>
    <row r="254" spans="1:15" s="10" customFormat="1" ht="15.75" customHeight="1" outlineLevel="1">
      <c r="A254" s="187" t="s">
        <v>552</v>
      </c>
      <c r="B254" s="365" t="str">
        <f>CURRENCY_NAME</f>
        <v>руб.</v>
      </c>
      <c r="C254" s="273" t="str">
        <f aca="true" t="shared" si="32" ref="C254:H254">C124</f>
        <v>11/2001</v>
      </c>
      <c r="D254" s="273" t="str">
        <f t="shared" si="32"/>
        <v>12/2001</v>
      </c>
      <c r="E254" s="273" t="str">
        <f t="shared" si="32"/>
        <v>1/2002</v>
      </c>
      <c r="F254" s="273" t="str">
        <f t="shared" si="32"/>
        <v>2/2002</v>
      </c>
      <c r="G254" s="273" t="str">
        <f t="shared" si="32"/>
        <v>3/2002</v>
      </c>
      <c r="H254" s="273" t="str">
        <f t="shared" si="32"/>
        <v>4/2002</v>
      </c>
      <c r="I254" s="273" t="str">
        <f aca="true" t="shared" si="33" ref="I254:O254">I124</f>
        <v>5/2002</v>
      </c>
      <c r="J254" s="273" t="str">
        <f t="shared" si="33"/>
        <v>6/2002</v>
      </c>
      <c r="K254" s="273" t="str">
        <f t="shared" si="33"/>
        <v>7/2002</v>
      </c>
      <c r="L254" s="273" t="str">
        <f t="shared" si="33"/>
        <v>8/2002</v>
      </c>
      <c r="M254" s="273" t="str">
        <f t="shared" si="33"/>
        <v>9/2002</v>
      </c>
      <c r="N254" s="273" t="str">
        <f t="shared" si="33"/>
        <v>10/2002</v>
      </c>
      <c r="O254" s="273" t="str">
        <f t="shared" si="33"/>
        <v>11/2002</v>
      </c>
    </row>
    <row r="255" spans="1:15" s="10" customFormat="1" ht="12.75" customHeight="1" outlineLevel="1">
      <c r="A255" s="336" t="s">
        <v>553</v>
      </c>
      <c r="B255" s="194"/>
      <c r="C255" s="195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</row>
    <row r="256" spans="1:15" ht="12.75" customHeight="1" outlineLevel="1">
      <c r="A256" s="261" t="s">
        <v>554</v>
      </c>
      <c r="B256" s="353">
        <f ca="1">OFFSET($B$79,INT((ROW()-ROW(DATA_LOANS)-2)/6),0)</f>
        <v>0</v>
      </c>
      <c r="C256" s="354">
        <f>B256+C257-C258</f>
        <v>3000000</v>
      </c>
      <c r="D256" s="354">
        <f>C256-D258+D257</f>
        <v>3000000</v>
      </c>
      <c r="E256" s="354">
        <f>D256-E258+E257</f>
        <v>6000000</v>
      </c>
      <c r="F256" s="354">
        <f>E256-F258+F257</f>
        <v>6000000</v>
      </c>
      <c r="G256" s="354">
        <f>F256-G258+G257</f>
        <v>6000000</v>
      </c>
      <c r="H256" s="354">
        <f>G256-H258+H257</f>
        <v>6000000</v>
      </c>
      <c r="I256" s="354">
        <f aca="true" t="shared" si="34" ref="I256:O256">H256-I258+I257</f>
        <v>6000000</v>
      </c>
      <c r="J256" s="354">
        <f t="shared" si="34"/>
        <v>6000000</v>
      </c>
      <c r="K256" s="354">
        <f t="shared" si="34"/>
        <v>6000000</v>
      </c>
      <c r="L256" s="354">
        <f t="shared" si="34"/>
        <v>4000000</v>
      </c>
      <c r="M256" s="354">
        <f t="shared" si="34"/>
        <v>2000000</v>
      </c>
      <c r="N256" s="354">
        <f t="shared" si="34"/>
        <v>0</v>
      </c>
      <c r="O256" s="354">
        <f t="shared" si="34"/>
        <v>0</v>
      </c>
    </row>
    <row r="257" spans="1:15" ht="12.75" customHeight="1" outlineLevel="1">
      <c r="A257" s="261" t="s">
        <v>555</v>
      </c>
      <c r="B257" s="174"/>
      <c r="C257" s="355">
        <v>3000000</v>
      </c>
      <c r="D257" s="24">
        <v>0</v>
      </c>
      <c r="E257" s="24">
        <v>3000000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</row>
    <row r="258" spans="1:15" ht="12.75" customHeight="1" outlineLevel="1">
      <c r="A258" s="261" t="s">
        <v>556</v>
      </c>
      <c r="B258" s="174"/>
      <c r="C258" s="355">
        <v>0</v>
      </c>
      <c r="D258" s="24">
        <v>0</v>
      </c>
      <c r="E258" s="24">
        <v>0</v>
      </c>
      <c r="F258" s="24">
        <v>0</v>
      </c>
      <c r="G258" s="24">
        <v>0</v>
      </c>
      <c r="H258" s="24">
        <v>0</v>
      </c>
      <c r="I258" s="24"/>
      <c r="J258" s="24"/>
      <c r="K258" s="24"/>
      <c r="L258" s="24">
        <v>2000000</v>
      </c>
      <c r="M258" s="24">
        <v>2000000</v>
      </c>
      <c r="N258" s="24">
        <v>2000000</v>
      </c>
      <c r="O258" s="24"/>
    </row>
    <row r="259" spans="1:15" ht="12.75" customHeight="1" outlineLevel="1">
      <c r="A259" s="261" t="s">
        <v>557</v>
      </c>
      <c r="B259" s="356">
        <v>0.15</v>
      </c>
      <c r="C259" s="335">
        <f>B259/12*PERIOD_LEN</f>
        <v>0.012499999999999999</v>
      </c>
      <c r="D259" s="335">
        <f>C259</f>
        <v>0.012499999999999999</v>
      </c>
      <c r="E259" s="335">
        <f>D259</f>
        <v>0.012499999999999999</v>
      </c>
      <c r="F259" s="335">
        <f>E259</f>
        <v>0.012499999999999999</v>
      </c>
      <c r="G259" s="335">
        <f>F259</f>
        <v>0.012499999999999999</v>
      </c>
      <c r="H259" s="335">
        <f>G259</f>
        <v>0.012499999999999999</v>
      </c>
      <c r="I259" s="335">
        <f aca="true" t="shared" si="35" ref="I259:O259">H259</f>
        <v>0.012499999999999999</v>
      </c>
      <c r="J259" s="335">
        <f t="shared" si="35"/>
        <v>0.012499999999999999</v>
      </c>
      <c r="K259" s="335">
        <f t="shared" si="35"/>
        <v>0.012499999999999999</v>
      </c>
      <c r="L259" s="335">
        <f t="shared" si="35"/>
        <v>0.012499999999999999</v>
      </c>
      <c r="M259" s="335">
        <f t="shared" si="35"/>
        <v>0.012499999999999999</v>
      </c>
      <c r="N259" s="335">
        <f t="shared" si="35"/>
        <v>0.012499999999999999</v>
      </c>
      <c r="O259" s="335">
        <f t="shared" si="35"/>
        <v>0.012499999999999999</v>
      </c>
    </row>
    <row r="260" spans="1:15" ht="12.75" customHeight="1" outlineLevel="1">
      <c r="A260" s="261" t="s">
        <v>558</v>
      </c>
      <c r="B260" s="174"/>
      <c r="C260" s="354">
        <f aca="true" t="shared" si="36" ref="C260:H260">C256*C259</f>
        <v>37500</v>
      </c>
      <c r="D260" s="354">
        <f t="shared" si="36"/>
        <v>37500</v>
      </c>
      <c r="E260" s="354">
        <f t="shared" si="36"/>
        <v>75000</v>
      </c>
      <c r="F260" s="354">
        <f t="shared" si="36"/>
        <v>75000</v>
      </c>
      <c r="G260" s="354">
        <f t="shared" si="36"/>
        <v>75000</v>
      </c>
      <c r="H260" s="354">
        <f t="shared" si="36"/>
        <v>75000</v>
      </c>
      <c r="I260" s="354">
        <f aca="true" t="shared" si="37" ref="I260:O260">I256*I259</f>
        <v>75000</v>
      </c>
      <c r="J260" s="354">
        <f t="shared" si="37"/>
        <v>75000</v>
      </c>
      <c r="K260" s="354">
        <f t="shared" si="37"/>
        <v>75000</v>
      </c>
      <c r="L260" s="354">
        <f t="shared" si="37"/>
        <v>49999.99999999999</v>
      </c>
      <c r="M260" s="354">
        <f t="shared" si="37"/>
        <v>24999.999999999996</v>
      </c>
      <c r="N260" s="354">
        <f t="shared" si="37"/>
        <v>0</v>
      </c>
      <c r="O260" s="354">
        <f t="shared" si="37"/>
        <v>0</v>
      </c>
    </row>
    <row r="261" ht="12.75" customHeight="1" outlineLevel="1"/>
    <row r="262" spans="1:15" s="18" customFormat="1" ht="12.75" customHeight="1" outlineLevel="1">
      <c r="A262" s="261" t="s">
        <v>559</v>
      </c>
      <c r="B262" s="338"/>
      <c r="C262" s="337">
        <f aca="true" t="shared" si="38" ref="C262:H262">C260</f>
        <v>37500</v>
      </c>
      <c r="D262" s="337">
        <f t="shared" si="38"/>
        <v>37500</v>
      </c>
      <c r="E262" s="337">
        <f t="shared" si="38"/>
        <v>75000</v>
      </c>
      <c r="F262" s="337">
        <f t="shared" si="38"/>
        <v>75000</v>
      </c>
      <c r="G262" s="337">
        <f t="shared" si="38"/>
        <v>75000</v>
      </c>
      <c r="H262" s="337">
        <f t="shared" si="38"/>
        <v>75000</v>
      </c>
      <c r="I262" s="337">
        <f aca="true" t="shared" si="39" ref="I262:O262">I260</f>
        <v>75000</v>
      </c>
      <c r="J262" s="337">
        <f t="shared" si="39"/>
        <v>75000</v>
      </c>
      <c r="K262" s="337">
        <f t="shared" si="39"/>
        <v>75000</v>
      </c>
      <c r="L262" s="337">
        <f t="shared" si="39"/>
        <v>49999.99999999999</v>
      </c>
      <c r="M262" s="337">
        <f t="shared" si="39"/>
        <v>24999.999999999996</v>
      </c>
      <c r="N262" s="337">
        <f t="shared" si="39"/>
        <v>0</v>
      </c>
      <c r="O262" s="337">
        <f t="shared" si="39"/>
        <v>0</v>
      </c>
    </row>
    <row r="263" spans="1:15" s="18" customFormat="1" ht="12.75" customHeight="1" outlineLevel="1">
      <c r="A263" s="261" t="s">
        <v>560</v>
      </c>
      <c r="B263" s="338"/>
      <c r="C263" s="337">
        <f aca="true" t="shared" si="40" ref="C263:H264">C257</f>
        <v>3000000</v>
      </c>
      <c r="D263" s="337">
        <f t="shared" si="40"/>
        <v>0</v>
      </c>
      <c r="E263" s="337">
        <f t="shared" si="40"/>
        <v>3000000</v>
      </c>
      <c r="F263" s="337">
        <f t="shared" si="40"/>
        <v>0</v>
      </c>
      <c r="G263" s="337">
        <f t="shared" si="40"/>
        <v>0</v>
      </c>
      <c r="H263" s="337">
        <f t="shared" si="40"/>
        <v>0</v>
      </c>
      <c r="I263" s="337">
        <f aca="true" t="shared" si="41" ref="I263:O263">I257</f>
        <v>0</v>
      </c>
      <c r="J263" s="337">
        <f t="shared" si="41"/>
        <v>0</v>
      </c>
      <c r="K263" s="337">
        <f t="shared" si="41"/>
        <v>0</v>
      </c>
      <c r="L263" s="337">
        <f t="shared" si="41"/>
        <v>0</v>
      </c>
      <c r="M263" s="337">
        <f t="shared" si="41"/>
        <v>0</v>
      </c>
      <c r="N263" s="337">
        <f t="shared" si="41"/>
        <v>0</v>
      </c>
      <c r="O263" s="337">
        <f t="shared" si="41"/>
        <v>0</v>
      </c>
    </row>
    <row r="264" spans="1:15" s="18" customFormat="1" ht="12.75" customHeight="1" outlineLevel="1">
      <c r="A264" s="261" t="s">
        <v>561</v>
      </c>
      <c r="B264" s="338"/>
      <c r="C264" s="337">
        <f t="shared" si="40"/>
        <v>0</v>
      </c>
      <c r="D264" s="337">
        <f t="shared" si="40"/>
        <v>0</v>
      </c>
      <c r="E264" s="337">
        <f t="shared" si="40"/>
        <v>0</v>
      </c>
      <c r="F264" s="337">
        <f t="shared" si="40"/>
        <v>0</v>
      </c>
      <c r="G264" s="337">
        <f t="shared" si="40"/>
        <v>0</v>
      </c>
      <c r="H264" s="337">
        <f t="shared" si="40"/>
        <v>0</v>
      </c>
      <c r="I264" s="337">
        <f aca="true" t="shared" si="42" ref="I264:O264">I258</f>
        <v>0</v>
      </c>
      <c r="J264" s="337">
        <f t="shared" si="42"/>
        <v>0</v>
      </c>
      <c r="K264" s="337">
        <f t="shared" si="42"/>
        <v>0</v>
      </c>
      <c r="L264" s="337">
        <f t="shared" si="42"/>
        <v>2000000</v>
      </c>
      <c r="M264" s="337">
        <f t="shared" si="42"/>
        <v>2000000</v>
      </c>
      <c r="N264" s="337">
        <f t="shared" si="42"/>
        <v>2000000</v>
      </c>
      <c r="O264" s="337">
        <f t="shared" si="42"/>
        <v>0</v>
      </c>
    </row>
    <row r="265" spans="1:15" s="18" customFormat="1" ht="12.75" customHeight="1" outlineLevel="1">
      <c r="A265" s="261" t="s">
        <v>562</v>
      </c>
      <c r="B265" s="338"/>
      <c r="C265" s="337">
        <f aca="true" t="shared" si="43" ref="C265:H265">C256</f>
        <v>3000000</v>
      </c>
      <c r="D265" s="337">
        <f t="shared" si="43"/>
        <v>3000000</v>
      </c>
      <c r="E265" s="337">
        <f t="shared" si="43"/>
        <v>6000000</v>
      </c>
      <c r="F265" s="337">
        <f t="shared" si="43"/>
        <v>6000000</v>
      </c>
      <c r="G265" s="337">
        <f t="shared" si="43"/>
        <v>6000000</v>
      </c>
      <c r="H265" s="337">
        <f t="shared" si="43"/>
        <v>6000000</v>
      </c>
      <c r="I265" s="337">
        <f aca="true" t="shared" si="44" ref="I265:O265">I256</f>
        <v>6000000</v>
      </c>
      <c r="J265" s="337">
        <f t="shared" si="44"/>
        <v>6000000</v>
      </c>
      <c r="K265" s="337">
        <f t="shared" si="44"/>
        <v>6000000</v>
      </c>
      <c r="L265" s="337">
        <f t="shared" si="44"/>
        <v>4000000</v>
      </c>
      <c r="M265" s="337">
        <f t="shared" si="44"/>
        <v>2000000</v>
      </c>
      <c r="N265" s="337">
        <f t="shared" si="44"/>
        <v>0</v>
      </c>
      <c r="O265" s="337">
        <f t="shared" si="44"/>
        <v>0</v>
      </c>
    </row>
    <row r="266" ht="12.75" customHeight="1" outlineLevel="1"/>
    <row r="267" spans="1:3" s="10" customFormat="1" ht="15.75" customHeight="1" outlineLevel="1">
      <c r="A267" s="357" t="s">
        <v>563</v>
      </c>
      <c r="B267" s="358" t="str">
        <f>CURRENCY_NAME</f>
        <v>руб.</v>
      </c>
      <c r="C267" s="359" t="s">
        <v>564</v>
      </c>
    </row>
    <row r="268" spans="1:3" ht="12.75" customHeight="1" outlineLevel="1">
      <c r="A268" s="401" t="s">
        <v>565</v>
      </c>
      <c r="B268" s="402">
        <v>0</v>
      </c>
      <c r="C268" s="403">
        <f ca="1">IF(SUM($B$268:OFFSET($B$268,SHARES_NUM-1,0))&gt;0,B268/SUM($B$268:OFFSET($B$268,SHARES_NUM-1,0)),0)</f>
        <v>0</v>
      </c>
    </row>
    <row r="269" spans="1:3" ht="12.75" customHeight="1" outlineLevel="1">
      <c r="A269" s="29"/>
      <c r="B269" s="405"/>
      <c r="C269" s="406"/>
    </row>
    <row r="270" spans="1:3" ht="12.75" customHeight="1" outlineLevel="1">
      <c r="A270" s="261" t="s">
        <v>450</v>
      </c>
      <c r="B270" s="404">
        <v>0</v>
      </c>
      <c r="C270" s="30"/>
    </row>
    <row r="271" ht="9.75" outlineLevel="1"/>
    <row r="272" spans="1:15" s="10" customFormat="1" ht="15.75" customHeight="1" outlineLevel="1">
      <c r="A272" s="367" t="s">
        <v>451</v>
      </c>
      <c r="B272" s="368" t="str">
        <f>CURRENCY_NAME</f>
        <v>руб.</v>
      </c>
      <c r="C272" s="273" t="str">
        <f aca="true" t="shared" si="45" ref="C272:H272">C124</f>
        <v>11/2001</v>
      </c>
      <c r="D272" s="273" t="str">
        <f t="shared" si="45"/>
        <v>12/2001</v>
      </c>
      <c r="E272" s="273" t="str">
        <f t="shared" si="45"/>
        <v>1/2002</v>
      </c>
      <c r="F272" s="273" t="str">
        <f t="shared" si="45"/>
        <v>2/2002</v>
      </c>
      <c r="G272" s="273" t="str">
        <f t="shared" si="45"/>
        <v>3/2002</v>
      </c>
      <c r="H272" s="273" t="str">
        <f t="shared" si="45"/>
        <v>4/2002</v>
      </c>
      <c r="I272" s="273" t="str">
        <f aca="true" t="shared" si="46" ref="I272:O272">I124</f>
        <v>5/2002</v>
      </c>
      <c r="J272" s="273" t="str">
        <f t="shared" si="46"/>
        <v>6/2002</v>
      </c>
      <c r="K272" s="273" t="str">
        <f t="shared" si="46"/>
        <v>7/2002</v>
      </c>
      <c r="L272" s="273" t="str">
        <f t="shared" si="46"/>
        <v>8/2002</v>
      </c>
      <c r="M272" s="273" t="str">
        <f t="shared" si="46"/>
        <v>9/2002</v>
      </c>
      <c r="N272" s="273" t="str">
        <f t="shared" si="46"/>
        <v>10/2002</v>
      </c>
      <c r="O272" s="273" t="str">
        <f t="shared" si="46"/>
        <v>11/2002</v>
      </c>
    </row>
    <row r="273" spans="1:15" s="10" customFormat="1" ht="12.75" customHeight="1" outlineLevel="1">
      <c r="A273" s="369" t="s">
        <v>452</v>
      </c>
      <c r="B273" s="194"/>
      <c r="C273" s="195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</row>
    <row r="274" spans="1:15" ht="9.75" outlineLevel="1">
      <c r="A274" s="261" t="s">
        <v>453</v>
      </c>
      <c r="B274" s="174"/>
      <c r="C274" s="334">
        <v>0</v>
      </c>
      <c r="D274" s="334">
        <v>0</v>
      </c>
      <c r="E274" s="334">
        <v>0</v>
      </c>
      <c r="F274" s="334">
        <v>0</v>
      </c>
      <c r="G274" s="334">
        <v>0</v>
      </c>
      <c r="H274" s="334">
        <v>0</v>
      </c>
      <c r="I274" s="334">
        <v>0</v>
      </c>
      <c r="J274" s="334">
        <v>0</v>
      </c>
      <c r="K274" s="334">
        <v>0</v>
      </c>
      <c r="L274" s="334">
        <v>0</v>
      </c>
      <c r="M274" s="334">
        <v>0</v>
      </c>
      <c r="N274" s="334">
        <v>0</v>
      </c>
      <c r="O274" s="334">
        <v>0</v>
      </c>
    </row>
    <row r="275" spans="1:15" ht="9.75" outlineLevel="1">
      <c r="A275" s="261" t="s">
        <v>454</v>
      </c>
      <c r="B275" s="174"/>
      <c r="C275" s="334">
        <v>0</v>
      </c>
      <c r="D275" s="334">
        <v>0</v>
      </c>
      <c r="E275" s="334">
        <v>0</v>
      </c>
      <c r="F275" s="334">
        <v>0</v>
      </c>
      <c r="G275" s="334">
        <v>0</v>
      </c>
      <c r="H275" s="334">
        <v>0</v>
      </c>
      <c r="I275" s="334">
        <v>0</v>
      </c>
      <c r="J275" s="334">
        <v>0</v>
      </c>
      <c r="K275" s="334">
        <v>0</v>
      </c>
      <c r="L275" s="334">
        <v>0</v>
      </c>
      <c r="M275" s="334">
        <v>0</v>
      </c>
      <c r="N275" s="334">
        <v>0</v>
      </c>
      <c r="O275" s="334">
        <v>0</v>
      </c>
    </row>
    <row r="276" spans="1:15" ht="9.75" outlineLevel="1">
      <c r="A276" s="261" t="s">
        <v>455</v>
      </c>
      <c r="B276" s="174"/>
      <c r="C276" s="333">
        <f>C274-C275</f>
        <v>0</v>
      </c>
      <c r="D276" s="333">
        <f>C276+D274-D275</f>
        <v>0</v>
      </c>
      <c r="E276" s="333">
        <f>D276+E274-E275</f>
        <v>0</v>
      </c>
      <c r="F276" s="333">
        <f>E276+F274-F275</f>
        <v>0</v>
      </c>
      <c r="G276" s="333">
        <f>F276+G274-G275</f>
        <v>0</v>
      </c>
      <c r="H276" s="333">
        <f>G276+H274-H275</f>
        <v>0</v>
      </c>
      <c r="I276" s="333">
        <f aca="true" t="shared" si="47" ref="I276:O276">H276+I274-I275</f>
        <v>0</v>
      </c>
      <c r="J276" s="333">
        <f t="shared" si="47"/>
        <v>0</v>
      </c>
      <c r="K276" s="333">
        <f t="shared" si="47"/>
        <v>0</v>
      </c>
      <c r="L276" s="333">
        <f t="shared" si="47"/>
        <v>0</v>
      </c>
      <c r="M276" s="333">
        <f t="shared" si="47"/>
        <v>0</v>
      </c>
      <c r="N276" s="333">
        <f t="shared" si="47"/>
        <v>0</v>
      </c>
      <c r="O276" s="333">
        <f t="shared" si="47"/>
        <v>0</v>
      </c>
    </row>
    <row r="277" spans="1:15" ht="9.75" outlineLevel="1">
      <c r="A277" s="261" t="s">
        <v>254</v>
      </c>
      <c r="B277" s="366">
        <v>0</v>
      </c>
      <c r="C277" s="339">
        <f>B277/12*PERIOD_LEN</f>
        <v>0</v>
      </c>
      <c r="D277" s="339">
        <f>C277</f>
        <v>0</v>
      </c>
      <c r="E277" s="339">
        <f>D277</f>
        <v>0</v>
      </c>
      <c r="F277" s="339">
        <f>E277</f>
        <v>0</v>
      </c>
      <c r="G277" s="339">
        <f>F277</f>
        <v>0</v>
      </c>
      <c r="H277" s="339">
        <f>G277</f>
        <v>0</v>
      </c>
      <c r="I277" s="339">
        <f aca="true" t="shared" si="48" ref="I277:O277">H277</f>
        <v>0</v>
      </c>
      <c r="J277" s="339">
        <f t="shared" si="48"/>
        <v>0</v>
      </c>
      <c r="K277" s="339">
        <f t="shared" si="48"/>
        <v>0</v>
      </c>
      <c r="L277" s="339">
        <f t="shared" si="48"/>
        <v>0</v>
      </c>
      <c r="M277" s="339">
        <f t="shared" si="48"/>
        <v>0</v>
      </c>
      <c r="N277" s="339">
        <f t="shared" si="48"/>
        <v>0</v>
      </c>
      <c r="O277" s="339">
        <f t="shared" si="48"/>
        <v>0</v>
      </c>
    </row>
    <row r="278" spans="1:15" ht="9.75" outlineLevel="1">
      <c r="A278" s="261" t="s">
        <v>255</v>
      </c>
      <c r="B278" s="174"/>
      <c r="C278" s="333">
        <f aca="true" t="shared" si="49" ref="C278:H278">C276*C277</f>
        <v>0</v>
      </c>
      <c r="D278" s="333">
        <f t="shared" si="49"/>
        <v>0</v>
      </c>
      <c r="E278" s="333">
        <f t="shared" si="49"/>
        <v>0</v>
      </c>
      <c r="F278" s="333">
        <f t="shared" si="49"/>
        <v>0</v>
      </c>
      <c r="G278" s="333">
        <f t="shared" si="49"/>
        <v>0</v>
      </c>
      <c r="H278" s="333">
        <f t="shared" si="49"/>
        <v>0</v>
      </c>
      <c r="I278" s="333">
        <f aca="true" t="shared" si="50" ref="I278:O278">I276*I277</f>
        <v>0</v>
      </c>
      <c r="J278" s="333">
        <f t="shared" si="50"/>
        <v>0</v>
      </c>
      <c r="K278" s="333">
        <f t="shared" si="50"/>
        <v>0</v>
      </c>
      <c r="L278" s="333">
        <f t="shared" si="50"/>
        <v>0</v>
      </c>
      <c r="M278" s="333">
        <f t="shared" si="50"/>
        <v>0</v>
      </c>
      <c r="N278" s="333">
        <f t="shared" si="50"/>
        <v>0</v>
      </c>
      <c r="O278" s="333">
        <f t="shared" si="50"/>
        <v>0</v>
      </c>
    </row>
    <row r="279" spans="1:15" ht="9.75" outlineLevel="1">
      <c r="A279" s="261" t="s">
        <v>256</v>
      </c>
      <c r="B279" s="174"/>
      <c r="C279" s="334">
        <f aca="true" t="shared" si="51" ref="C279:H279">C275+C278</f>
        <v>0</v>
      </c>
      <c r="D279" s="334">
        <f t="shared" si="51"/>
        <v>0</v>
      </c>
      <c r="E279" s="334">
        <f t="shared" si="51"/>
        <v>0</v>
      </c>
      <c r="F279" s="334">
        <f t="shared" si="51"/>
        <v>0</v>
      </c>
      <c r="G279" s="334">
        <f t="shared" si="51"/>
        <v>0</v>
      </c>
      <c r="H279" s="334">
        <f t="shared" si="51"/>
        <v>0</v>
      </c>
      <c r="I279" s="334">
        <f aca="true" t="shared" si="52" ref="I279:O279">I275+I278</f>
        <v>0</v>
      </c>
      <c r="J279" s="334">
        <f t="shared" si="52"/>
        <v>0</v>
      </c>
      <c r="K279" s="334">
        <f t="shared" si="52"/>
        <v>0</v>
      </c>
      <c r="L279" s="334">
        <f t="shared" si="52"/>
        <v>0</v>
      </c>
      <c r="M279" s="334">
        <f t="shared" si="52"/>
        <v>0</v>
      </c>
      <c r="N279" s="334">
        <f t="shared" si="52"/>
        <v>0</v>
      </c>
      <c r="O279" s="334">
        <f t="shared" si="52"/>
        <v>0</v>
      </c>
    </row>
    <row r="280" ht="12.75" customHeight="1" outlineLevel="1">
      <c r="A280" s="14"/>
    </row>
    <row r="281" spans="1:15" ht="12.75" customHeight="1" outlineLevel="1">
      <c r="A281" s="14" t="s">
        <v>257</v>
      </c>
      <c r="C281" s="31">
        <f aca="true" t="shared" si="53" ref="C281:H281">C279</f>
        <v>0</v>
      </c>
      <c r="D281" s="31">
        <f t="shared" si="53"/>
        <v>0</v>
      </c>
      <c r="E281" s="31">
        <f t="shared" si="53"/>
        <v>0</v>
      </c>
      <c r="F281" s="31">
        <f t="shared" si="53"/>
        <v>0</v>
      </c>
      <c r="G281" s="31">
        <f t="shared" si="53"/>
        <v>0</v>
      </c>
      <c r="H281" s="31">
        <f t="shared" si="53"/>
        <v>0</v>
      </c>
      <c r="I281" s="31">
        <f aca="true" t="shared" si="54" ref="I281:O281">I279</f>
        <v>0</v>
      </c>
      <c r="J281" s="31">
        <f t="shared" si="54"/>
        <v>0</v>
      </c>
      <c r="K281" s="31">
        <f t="shared" si="54"/>
        <v>0</v>
      </c>
      <c r="L281" s="31">
        <f t="shared" si="54"/>
        <v>0</v>
      </c>
      <c r="M281" s="31">
        <f t="shared" si="54"/>
        <v>0</v>
      </c>
      <c r="N281" s="31">
        <f t="shared" si="54"/>
        <v>0</v>
      </c>
      <c r="O281" s="31">
        <f t="shared" si="54"/>
        <v>0</v>
      </c>
    </row>
    <row r="282" ht="12.75" customHeight="1">
      <c r="A282" s="14"/>
    </row>
    <row r="283" ht="12.75" customHeight="1"/>
  </sheetData>
  <sheetProtection/>
  <dataValidations count="5">
    <dataValidation type="decimal" allowBlank="1" showErrorMessage="1" errorTitle="Недопустимое значение" error="Доля прибыли должна быть от 0% до 100%" sqref="B270">
      <formula1>0</formula1>
      <formula2>1</formula2>
    </dataValidation>
    <dataValidation type="custom" allowBlank="1" showInputMessage="1" showErrorMessage="1" errorTitle="Недопустимое значение" error="Значение этой ячейки может быть или числом, или символом &quot;…&quot; (одним символом, а не в виде трех отдельных точек), означающим, что для всех периодов действуют значения из первого периода." sqref="C176:C178 D202:D219 D190 D166 D176:D187 D237:D242 E208:O210 D132:D136 D139:D143 D146:D150 D168:D173 E158:O158 E203:O203 D156:D163 D231:O233 E160:O160 E179:O179 E182:H182 E177:O177">
      <formula1>OR(ISNUMBER(C176),C176="…")</formula1>
    </dataValidation>
    <dataValidation type="decimal" allowBlank="1" showInputMessage="1" showErrorMessage="1" errorTitle="Недопустимое значение" error="В этой ячейке допустимы только числовые значения от 0 до 100 000 000" sqref="E168:G173 H167:O173 E190:O190 E166:O166 E211:O219 E139:O143 E146:O150 J180:O187 E202:O202 E204:O207 E132:O136 E156:O157 E159:O159 E161:O163 E178:O178 E180:H181 E176:O176 E183:I187 I180:I182 E237:O242">
      <formula1>0</formula1>
      <formula2>100000000</formula2>
    </dataValidation>
    <dataValidation type="whole" allowBlank="1" showInputMessage="1" showErrorMessage="1" errorTitle="Недопустимое значение" error="Значение этого параметра должно находиться в интервале от 0 до 360 дней." sqref="B43:B44">
      <formula1>0</formula1>
      <formula2>360</formula2>
    </dataValidation>
    <dataValidation type="whole" allowBlank="1" showErrorMessage="1" errorTitle="Недопустимое значение" error="Значение этого параметра должно находиться в интервале от 0 до 360 дней." sqref="B42">
      <formula1>0</formula1>
      <formula2>360</formula2>
    </dataValidation>
  </dataValidations>
  <printOptions/>
  <pageMargins left="0.3937007874015748" right="0.3937007874015748" top="0.3937007874015748" bottom="0.3937007874015748" header="0.11811023622047245" footer="0.1968503937007874"/>
  <pageSetup horizontalDpi="300" verticalDpi="300" orientation="landscape" pageOrder="overThenDown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D30" sqref="D30"/>
    </sheetView>
  </sheetViews>
  <sheetFormatPr defaultColWidth="9.125" defaultRowHeight="12.75" customHeight="1"/>
  <cols>
    <col min="1" max="1" width="39.375" style="51" customWidth="1"/>
    <col min="2" max="11" width="10.75390625" style="51" customWidth="1"/>
    <col min="12" max="16384" width="9.125" style="51" customWidth="1"/>
  </cols>
  <sheetData>
    <row r="1" spans="1:7" ht="12.75" customHeight="1">
      <c r="A1" s="36"/>
      <c r="B1" s="108"/>
      <c r="C1" s="108"/>
      <c r="D1" s="108"/>
      <c r="E1" s="108"/>
      <c r="F1" s="108"/>
      <c r="G1" s="108"/>
    </row>
    <row r="2" spans="1:7" ht="15.75" customHeight="1">
      <c r="A2" s="36"/>
      <c r="B2" s="108"/>
      <c r="C2" s="108"/>
      <c r="D2" s="108"/>
      <c r="E2" s="108"/>
      <c r="F2" s="108"/>
      <c r="G2" s="108"/>
    </row>
    <row r="3" spans="1:7" ht="12.75" customHeight="1">
      <c r="A3" s="36"/>
      <c r="B3" s="108"/>
      <c r="C3" s="108"/>
      <c r="D3" s="108"/>
      <c r="E3" s="108"/>
      <c r="F3" s="108"/>
      <c r="G3" s="108"/>
    </row>
    <row r="4" spans="1:7" s="122" customFormat="1" ht="15.75" customHeight="1">
      <c r="A4" s="120" t="s">
        <v>67</v>
      </c>
      <c r="B4" s="121"/>
      <c r="C4" s="121"/>
      <c r="D4" s="121"/>
      <c r="E4" s="121"/>
      <c r="F4" s="121"/>
      <c r="G4" s="121"/>
    </row>
    <row r="5" spans="1:7" ht="12.75" customHeight="1" thickBot="1">
      <c r="A5" s="36"/>
      <c r="B5" s="108"/>
      <c r="C5" s="108"/>
      <c r="D5" s="108"/>
      <c r="E5" s="108"/>
      <c r="F5" s="108"/>
      <c r="G5" s="108"/>
    </row>
    <row r="6" spans="1:11" ht="12.75" customHeight="1" thickBot="1">
      <c r="A6" s="225" t="s">
        <v>68</v>
      </c>
      <c r="B6" s="226">
        <v>0.05</v>
      </c>
      <c r="C6" s="226">
        <v>0.1</v>
      </c>
      <c r="D6" s="226">
        <v>0.15</v>
      </c>
      <c r="E6" s="226">
        <v>0.2</v>
      </c>
      <c r="F6" s="226">
        <v>0.25</v>
      </c>
      <c r="G6" s="226">
        <v>0.3</v>
      </c>
      <c r="H6" s="226">
        <v>0.35</v>
      </c>
      <c r="I6" s="226">
        <v>0.4</v>
      </c>
      <c r="J6" s="226">
        <v>0.45</v>
      </c>
      <c r="K6" s="226">
        <v>0.5</v>
      </c>
    </row>
    <row r="7" spans="1:11" ht="12.75" customHeight="1">
      <c r="A7" s="100" t="s">
        <v>69</v>
      </c>
      <c r="B7" s="123">
        <v>-42179035.23041818</v>
      </c>
      <c r="C7" s="123">
        <v>-43363989.557724066</v>
      </c>
      <c r="D7" s="123">
        <v>-44548943.88502996</v>
      </c>
      <c r="E7" s="123">
        <v>-45733898.21233583</v>
      </c>
      <c r="F7" s="123">
        <v>-46918852.53964172</v>
      </c>
      <c r="G7" s="123">
        <v>-48103806.866947606</v>
      </c>
      <c r="H7" s="123">
        <v>-49288761.1942535</v>
      </c>
      <c r="I7" s="123">
        <v>-50473715.52155939</v>
      </c>
      <c r="J7" s="123">
        <v>-51658669.848865286</v>
      </c>
      <c r="K7" s="123">
        <v>-52843624.176171154</v>
      </c>
    </row>
    <row r="8" spans="1:11" ht="12.75" customHeight="1">
      <c r="A8" s="101" t="s">
        <v>70</v>
      </c>
      <c r="B8" s="124">
        <v>-42179035.23041818</v>
      </c>
      <c r="C8" s="124">
        <v>-43363989.557724066</v>
      </c>
      <c r="D8" s="124">
        <v>-44548943.88502996</v>
      </c>
      <c r="E8" s="124">
        <v>-45733898.21233583</v>
      </c>
      <c r="F8" s="124">
        <v>-46918852.53964172</v>
      </c>
      <c r="G8" s="124">
        <v>-48103806.86694761</v>
      </c>
      <c r="H8" s="124">
        <v>-49288761.1942535</v>
      </c>
      <c r="I8" s="124">
        <v>-50473715.52155939</v>
      </c>
      <c r="J8" s="124">
        <v>-51658669.84886528</v>
      </c>
      <c r="K8" s="124">
        <v>-52843624.176171154</v>
      </c>
    </row>
    <row r="9" spans="1:11" ht="12.75" customHeight="1">
      <c r="A9" s="101" t="s">
        <v>71</v>
      </c>
      <c r="B9" s="124">
        <v>-45179026.294176206</v>
      </c>
      <c r="C9" s="124">
        <v>-49363971.68524012</v>
      </c>
      <c r="D9" s="124">
        <v>-53548917.07630405</v>
      </c>
      <c r="E9" s="124">
        <v>-57733862.46736797</v>
      </c>
      <c r="F9" s="124">
        <v>-61918807.85843188</v>
      </c>
      <c r="G9" s="124">
        <v>-66103753.24949579</v>
      </c>
      <c r="H9" s="124">
        <v>-70288698.64055972</v>
      </c>
      <c r="I9" s="124">
        <v>-74473644.03162363</v>
      </c>
      <c r="J9" s="124">
        <v>-78658589.42268756</v>
      </c>
      <c r="K9" s="124">
        <v>-82843534.8137515</v>
      </c>
    </row>
    <row r="10" spans="1:11" ht="12.75" customHeight="1">
      <c r="A10" s="101" t="s">
        <v>204</v>
      </c>
      <c r="B10" s="124">
        <v>-40994080.9031123</v>
      </c>
      <c r="C10" s="124">
        <v>-40994080.9031123</v>
      </c>
      <c r="D10" s="124">
        <v>-40994080.9031123</v>
      </c>
      <c r="E10" s="124">
        <v>-40994080.9031123</v>
      </c>
      <c r="F10" s="124">
        <v>-40994080.9031123</v>
      </c>
      <c r="G10" s="124">
        <v>-40994080.9031123</v>
      </c>
      <c r="H10" s="124">
        <v>-40994080.9031123</v>
      </c>
      <c r="I10" s="124">
        <v>-40994080.9031123</v>
      </c>
      <c r="J10" s="124">
        <v>-40994080.9031123</v>
      </c>
      <c r="K10" s="124">
        <v>-40994080.9031123</v>
      </c>
    </row>
    <row r="11" spans="1:11" ht="12.75" customHeight="1">
      <c r="A11" s="101" t="s">
        <v>205</v>
      </c>
      <c r="B11" s="124">
        <v>-41386664.6739317</v>
      </c>
      <c r="C11" s="124">
        <v>-41779248.44475111</v>
      </c>
      <c r="D11" s="124">
        <v>-42171832.21557051</v>
      </c>
      <c r="E11" s="124">
        <v>-42564415.98638991</v>
      </c>
      <c r="F11" s="124">
        <v>-42956999.757209316</v>
      </c>
      <c r="G11" s="124">
        <v>-43349583.52802871</v>
      </c>
      <c r="H11" s="124">
        <v>-43742167.29884813</v>
      </c>
      <c r="I11" s="124">
        <v>-44134751.06966753</v>
      </c>
      <c r="J11" s="124">
        <v>-44527334.84048694</v>
      </c>
      <c r="K11" s="124">
        <v>-44919918.611306354</v>
      </c>
    </row>
    <row r="12" spans="1:11" ht="12.75" customHeight="1" thickBot="1">
      <c r="A12" s="105" t="s">
        <v>206</v>
      </c>
      <c r="B12" s="125">
        <v>-40994080.9031123</v>
      </c>
      <c r="C12" s="125">
        <v>-40994080.9031123</v>
      </c>
      <c r="D12" s="125">
        <v>-40994080.9031123</v>
      </c>
      <c r="E12" s="125">
        <v>-40994080.9031123</v>
      </c>
      <c r="F12" s="125">
        <v>-40994080.9031123</v>
      </c>
      <c r="G12" s="125">
        <v>-40994080.9031123</v>
      </c>
      <c r="H12" s="125">
        <v>-40994080.9031123</v>
      </c>
      <c r="I12" s="125">
        <v>-40994080.9031123</v>
      </c>
      <c r="J12" s="125">
        <v>-40994080.9031123</v>
      </c>
      <c r="K12" s="125">
        <v>-40994080.9031123</v>
      </c>
    </row>
    <row r="13" spans="1:7" ht="12.75" customHeight="1" thickBot="1">
      <c r="A13" s="36"/>
      <c r="B13" s="108"/>
      <c r="C13" s="108"/>
      <c r="D13" s="108"/>
      <c r="E13" s="108"/>
      <c r="F13" s="108"/>
      <c r="G13" s="108"/>
    </row>
    <row r="14" spans="1:11" ht="12.75" customHeight="1" thickBot="1">
      <c r="A14" s="225" t="s">
        <v>207</v>
      </c>
      <c r="B14" s="226">
        <v>0.05</v>
      </c>
      <c r="C14" s="226">
        <v>0.1</v>
      </c>
      <c r="D14" s="226">
        <v>0.15</v>
      </c>
      <c r="E14" s="226">
        <v>0.2</v>
      </c>
      <c r="F14" s="226">
        <v>0.25</v>
      </c>
      <c r="G14" s="226">
        <v>0.3</v>
      </c>
      <c r="H14" s="226">
        <v>0.35</v>
      </c>
      <c r="I14" s="226">
        <v>0.4</v>
      </c>
      <c r="J14" s="226">
        <v>0.45</v>
      </c>
      <c r="K14" s="226">
        <v>0.5</v>
      </c>
    </row>
    <row r="15" spans="1:11" ht="12.75" customHeight="1">
      <c r="A15" s="100" t="s">
        <v>69</v>
      </c>
      <c r="B15" s="126">
        <v>-47017423.70758045</v>
      </c>
      <c r="C15" s="126">
        <v>-48142924.06472329</v>
      </c>
      <c r="D15" s="126">
        <v>-49268424.421866156</v>
      </c>
      <c r="E15" s="126">
        <v>-50393924.77900902</v>
      </c>
      <c r="F15" s="126">
        <v>-51519425.136151865</v>
      </c>
      <c r="G15" s="126">
        <v>-52720896.21914265</v>
      </c>
      <c r="H15" s="126">
        <v>-54132078.004856944</v>
      </c>
      <c r="I15" s="126">
        <v>-55543259.790571235</v>
      </c>
      <c r="J15" s="126">
        <v>-56954441.576285504</v>
      </c>
      <c r="K15" s="126">
        <v>-58365623.3619998</v>
      </c>
    </row>
    <row r="16" spans="1:11" ht="12.75" customHeight="1">
      <c r="A16" s="101" t="s">
        <v>70</v>
      </c>
      <c r="B16" s="127">
        <v>-47017423.70758045</v>
      </c>
      <c r="C16" s="127">
        <v>-48142924.06472329</v>
      </c>
      <c r="D16" s="127">
        <v>-49268424.421866156</v>
      </c>
      <c r="E16" s="127">
        <v>-50393924.77900902</v>
      </c>
      <c r="F16" s="127">
        <v>-51519425.136151865</v>
      </c>
      <c r="G16" s="127">
        <v>-52720896.21914266</v>
      </c>
      <c r="H16" s="127">
        <v>-54132078.004856944</v>
      </c>
      <c r="I16" s="127">
        <v>-55543259.790571235</v>
      </c>
      <c r="J16" s="127">
        <v>-56954441.576285504</v>
      </c>
      <c r="K16" s="127">
        <v>-58365623.3619998</v>
      </c>
    </row>
    <row r="17" spans="1:11" ht="12.75" customHeight="1">
      <c r="A17" s="101" t="s">
        <v>71</v>
      </c>
      <c r="B17" s="127">
        <v>-50361789.421866156</v>
      </c>
      <c r="C17" s="127">
        <v>-54831655.49329473</v>
      </c>
      <c r="D17" s="127">
        <v>-59301521.5647233</v>
      </c>
      <c r="E17" s="127">
        <v>-64008269.790571235</v>
      </c>
      <c r="F17" s="127">
        <v>-68946885.8619998</v>
      </c>
      <c r="G17" s="127">
        <v>-73885501.93342836</v>
      </c>
      <c r="H17" s="127">
        <v>-78824118.00485694</v>
      </c>
      <c r="I17" s="127">
        <v>-83762734.07628553</v>
      </c>
      <c r="J17" s="127">
        <v>-88701350.14771408</v>
      </c>
      <c r="K17" s="127">
        <v>-93639966.21914268</v>
      </c>
    </row>
    <row r="18" spans="1:11" ht="12.75" customHeight="1">
      <c r="A18" s="101" t="s">
        <v>204</v>
      </c>
      <c r="B18" s="127">
        <v>-45891923.35043759</v>
      </c>
      <c r="C18" s="127">
        <v>-45891923.35043759</v>
      </c>
      <c r="D18" s="127">
        <v>-45891923.35043759</v>
      </c>
      <c r="E18" s="127">
        <v>-45891923.35043759</v>
      </c>
      <c r="F18" s="127">
        <v>-45891923.35043759</v>
      </c>
      <c r="G18" s="127">
        <v>-45891923.35043759</v>
      </c>
      <c r="H18" s="127">
        <v>-45891923.35043759</v>
      </c>
      <c r="I18" s="127">
        <v>-45891923.35043759</v>
      </c>
      <c r="J18" s="127">
        <v>-45891923.35043759</v>
      </c>
      <c r="K18" s="127">
        <v>-45891923.35043759</v>
      </c>
    </row>
    <row r="19" spans="1:11" ht="12.75" customHeight="1">
      <c r="A19" s="101" t="s">
        <v>205</v>
      </c>
      <c r="B19" s="127">
        <v>-46309815.82213621</v>
      </c>
      <c r="C19" s="127">
        <v>-46727708.29383486</v>
      </c>
      <c r="D19" s="127">
        <v>-47145600.7655335</v>
      </c>
      <c r="E19" s="127">
        <v>-47563493.23723213</v>
      </c>
      <c r="F19" s="127">
        <v>-47981385.70893075</v>
      </c>
      <c r="G19" s="127">
        <v>-48399278.18062939</v>
      </c>
      <c r="H19" s="127">
        <v>-48817170.65232803</v>
      </c>
      <c r="I19" s="127">
        <v>-49235063.12402666</v>
      </c>
      <c r="J19" s="127">
        <v>-49652955.59572529</v>
      </c>
      <c r="K19" s="127">
        <v>-50070848.067423925</v>
      </c>
    </row>
    <row r="20" spans="1:11" ht="12.75" customHeight="1" thickBot="1">
      <c r="A20" s="105" t="s">
        <v>206</v>
      </c>
      <c r="B20" s="128">
        <v>-45891923.35043759</v>
      </c>
      <c r="C20" s="128">
        <v>-45891923.35043759</v>
      </c>
      <c r="D20" s="128">
        <v>-45891923.35043759</v>
      </c>
      <c r="E20" s="128">
        <v>-45891923.35043759</v>
      </c>
      <c r="F20" s="128">
        <v>-45891923.35043759</v>
      </c>
      <c r="G20" s="128">
        <v>-45891923.35043759</v>
      </c>
      <c r="H20" s="128">
        <v>-45891923.35043759</v>
      </c>
      <c r="I20" s="128">
        <v>-45891923.35043759</v>
      </c>
      <c r="J20" s="128">
        <v>-45891923.35043759</v>
      </c>
      <c r="K20" s="128">
        <v>-45891923.35043759</v>
      </c>
    </row>
    <row r="22" ht="12.75" customHeight="1">
      <c r="A22" s="129" t="s">
        <v>208</v>
      </c>
    </row>
    <row r="23" ht="12.75" customHeight="1">
      <c r="A23" s="129" t="s">
        <v>209</v>
      </c>
    </row>
    <row r="24" ht="12.75" customHeight="1">
      <c r="A24" s="129" t="s">
        <v>210</v>
      </c>
    </row>
    <row r="230" ht="12.75" customHeight="1">
      <c r="B230" s="51">
        <v>0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40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40.625" style="51" customWidth="1"/>
    <col min="2" max="2" width="38.375" style="51" customWidth="1"/>
    <col min="3" max="16384" width="9.125" style="51" customWidth="1"/>
  </cols>
  <sheetData>
    <row r="2" spans="1:2" ht="10.5">
      <c r="A2" s="229" t="s">
        <v>476</v>
      </c>
      <c r="B2" s="229" t="s">
        <v>477</v>
      </c>
    </row>
    <row r="3" spans="1:2" ht="10.5">
      <c r="A3" s="51" t="s">
        <v>510</v>
      </c>
      <c r="B3" s="51" t="s">
        <v>511</v>
      </c>
    </row>
    <row r="4" spans="1:2" ht="10.5">
      <c r="A4" s="51" t="s">
        <v>512</v>
      </c>
      <c r="B4" s="51" t="s">
        <v>513</v>
      </c>
    </row>
    <row r="5" spans="1:2" ht="10.5">
      <c r="A5" s="51" t="s">
        <v>514</v>
      </c>
      <c r="B5" s="51" t="s">
        <v>515</v>
      </c>
    </row>
    <row r="6" spans="1:2" ht="10.5">
      <c r="A6" s="51" t="s">
        <v>516</v>
      </c>
      <c r="B6" s="51" t="s">
        <v>517</v>
      </c>
    </row>
    <row r="7" spans="1:2" ht="10.5">
      <c r="A7" s="51" t="s">
        <v>518</v>
      </c>
      <c r="B7" s="51" t="s">
        <v>519</v>
      </c>
    </row>
    <row r="8" spans="1:2" ht="10.5">
      <c r="A8" s="51" t="s">
        <v>520</v>
      </c>
      <c r="B8" s="51" t="s">
        <v>521</v>
      </c>
    </row>
    <row r="9" spans="1:2" ht="10.5">
      <c r="A9" s="51" t="s">
        <v>261</v>
      </c>
      <c r="B9" s="51" t="s">
        <v>322</v>
      </c>
    </row>
    <row r="10" spans="1:2" ht="10.5">
      <c r="A10" s="51" t="s">
        <v>323</v>
      </c>
      <c r="B10" s="51" t="s">
        <v>324</v>
      </c>
    </row>
    <row r="11" spans="1:2" ht="10.5">
      <c r="A11" s="51" t="s">
        <v>325</v>
      </c>
      <c r="B11" s="51" t="s">
        <v>29</v>
      </c>
    </row>
    <row r="12" spans="1:2" ht="10.5">
      <c r="A12" s="51" t="s">
        <v>326</v>
      </c>
      <c r="B12" s="51" t="s">
        <v>30</v>
      </c>
    </row>
    <row r="13" spans="1:2" ht="10.5">
      <c r="A13" s="51" t="s">
        <v>327</v>
      </c>
      <c r="B13" s="51" t="s">
        <v>31</v>
      </c>
    </row>
    <row r="14" spans="1:2" ht="10.5">
      <c r="A14" s="51" t="s">
        <v>197</v>
      </c>
      <c r="B14" s="51" t="s">
        <v>32</v>
      </c>
    </row>
    <row r="15" spans="1:2" ht="10.5">
      <c r="A15" s="51" t="s">
        <v>198</v>
      </c>
      <c r="B15" s="51" t="s">
        <v>199</v>
      </c>
    </row>
    <row r="16" spans="1:2" ht="10.5">
      <c r="A16" s="51" t="s">
        <v>200</v>
      </c>
      <c r="B16" s="51" t="s">
        <v>33</v>
      </c>
    </row>
    <row r="17" spans="1:2" ht="10.5">
      <c r="A17" s="51" t="s">
        <v>201</v>
      </c>
      <c r="B17" s="51" t="s">
        <v>34</v>
      </c>
    </row>
    <row r="18" spans="1:2" ht="10.5">
      <c r="A18" s="51" t="s">
        <v>202</v>
      </c>
      <c r="B18" s="51" t="s">
        <v>132</v>
      </c>
    </row>
    <row r="19" spans="1:2" ht="10.5">
      <c r="A19" s="51" t="s">
        <v>203</v>
      </c>
      <c r="B19" s="51" t="s">
        <v>133</v>
      </c>
    </row>
    <row r="20" spans="1:2" ht="10.5">
      <c r="A20" s="51" t="s">
        <v>338</v>
      </c>
      <c r="B20" s="51" t="s">
        <v>339</v>
      </c>
    </row>
    <row r="21" spans="1:2" ht="10.5">
      <c r="A21" s="51" t="s">
        <v>340</v>
      </c>
      <c r="B21" s="51" t="s">
        <v>341</v>
      </c>
    </row>
    <row r="22" spans="1:2" ht="10.5">
      <c r="A22" s="51" t="s">
        <v>342</v>
      </c>
      <c r="B22" s="51" t="s">
        <v>134</v>
      </c>
    </row>
    <row r="23" spans="1:2" ht="10.5">
      <c r="A23" s="51" t="s">
        <v>420</v>
      </c>
      <c r="B23" s="51" t="s">
        <v>135</v>
      </c>
    </row>
    <row r="24" spans="1:2" ht="10.5">
      <c r="A24" s="51" t="s">
        <v>421</v>
      </c>
      <c r="B24" s="51" t="s">
        <v>136</v>
      </c>
    </row>
    <row r="25" spans="1:2" ht="10.5">
      <c r="A25" s="51" t="s">
        <v>422</v>
      </c>
      <c r="B25" s="51" t="s">
        <v>137</v>
      </c>
    </row>
    <row r="26" spans="1:2" ht="10.5">
      <c r="A26" s="51" t="s">
        <v>423</v>
      </c>
      <c r="B26" s="51" t="s">
        <v>138</v>
      </c>
    </row>
    <row r="27" spans="1:2" ht="10.5">
      <c r="A27" s="51" t="s">
        <v>343</v>
      </c>
      <c r="B27" s="51" t="s">
        <v>344</v>
      </c>
    </row>
    <row r="28" spans="1:2" ht="10.5">
      <c r="A28" s="51" t="s">
        <v>345</v>
      </c>
      <c r="B28" s="51" t="s">
        <v>139</v>
      </c>
    </row>
    <row r="29" spans="1:2" ht="10.5">
      <c r="A29" s="51" t="s">
        <v>346</v>
      </c>
      <c r="B29" s="51" t="s">
        <v>347</v>
      </c>
    </row>
    <row r="30" spans="1:2" ht="10.5">
      <c r="A30" s="51" t="s">
        <v>259</v>
      </c>
      <c r="B30" s="51" t="s">
        <v>348</v>
      </c>
    </row>
    <row r="31" spans="1:2" ht="10.5">
      <c r="A31" s="51" t="s">
        <v>349</v>
      </c>
      <c r="B31" s="51" t="s">
        <v>350</v>
      </c>
    </row>
    <row r="32" spans="1:2" ht="10.5">
      <c r="A32" s="231" t="s">
        <v>351</v>
      </c>
      <c r="B32" s="231" t="s">
        <v>352</v>
      </c>
    </row>
    <row r="33" spans="1:2" ht="10.5">
      <c r="A33" s="51" t="s">
        <v>566</v>
      </c>
      <c r="B33" s="51" t="s">
        <v>353</v>
      </c>
    </row>
    <row r="34" spans="1:2" ht="10.5">
      <c r="A34" s="51" t="s">
        <v>427</v>
      </c>
      <c r="B34" s="51" t="s">
        <v>354</v>
      </c>
    </row>
    <row r="35" spans="1:2" ht="10.5">
      <c r="A35" s="51" t="s">
        <v>355</v>
      </c>
      <c r="B35" s="51" t="s">
        <v>356</v>
      </c>
    </row>
    <row r="36" spans="1:2" ht="10.5">
      <c r="A36" s="51" t="s">
        <v>567</v>
      </c>
      <c r="B36" s="51" t="s">
        <v>357</v>
      </c>
    </row>
    <row r="37" spans="1:2" ht="10.5">
      <c r="A37" s="51" t="s">
        <v>358</v>
      </c>
      <c r="B37" s="51" t="s">
        <v>495</v>
      </c>
    </row>
    <row r="38" spans="1:2" ht="10.5">
      <c r="A38" s="51" t="s">
        <v>418</v>
      </c>
      <c r="B38" s="51" t="s">
        <v>496</v>
      </c>
    </row>
    <row r="39" spans="1:2" ht="10.5">
      <c r="A39" s="51" t="s">
        <v>497</v>
      </c>
      <c r="B39" s="51" t="s">
        <v>134</v>
      </c>
    </row>
    <row r="40" spans="1:2" ht="10.5">
      <c r="A40" s="51" t="s">
        <v>498</v>
      </c>
      <c r="B40" s="51" t="s">
        <v>135</v>
      </c>
    </row>
    <row r="41" spans="1:2" ht="10.5">
      <c r="A41" s="51" t="s">
        <v>499</v>
      </c>
      <c r="B41" s="51" t="s">
        <v>136</v>
      </c>
    </row>
    <row r="42" spans="1:2" ht="10.5">
      <c r="A42" s="51" t="s">
        <v>500</v>
      </c>
      <c r="B42" s="51" t="s">
        <v>137</v>
      </c>
    </row>
    <row r="43" spans="1:2" ht="10.5">
      <c r="A43" s="51" t="s">
        <v>501</v>
      </c>
      <c r="B43" s="51" t="s">
        <v>138</v>
      </c>
    </row>
    <row r="44" spans="1:2" ht="10.5">
      <c r="A44" s="51" t="s">
        <v>490</v>
      </c>
      <c r="B44" s="51" t="s">
        <v>502</v>
      </c>
    </row>
    <row r="45" spans="1:2" ht="10.5">
      <c r="A45" s="51" t="s">
        <v>424</v>
      </c>
      <c r="B45" s="51" t="s">
        <v>503</v>
      </c>
    </row>
    <row r="46" spans="1:2" ht="10.5">
      <c r="A46" s="51" t="s">
        <v>530</v>
      </c>
      <c r="B46" s="51" t="s">
        <v>531</v>
      </c>
    </row>
    <row r="47" spans="1:2" ht="10.5">
      <c r="A47" s="51" t="s">
        <v>532</v>
      </c>
      <c r="B47" s="51" t="s">
        <v>533</v>
      </c>
    </row>
    <row r="48" spans="1:2" ht="10.5">
      <c r="A48" s="51" t="s">
        <v>572</v>
      </c>
      <c r="B48" s="51" t="s">
        <v>534</v>
      </c>
    </row>
    <row r="49" spans="1:2" ht="10.5">
      <c r="A49" s="51" t="s">
        <v>535</v>
      </c>
      <c r="B49" s="51" t="s">
        <v>536</v>
      </c>
    </row>
    <row r="50" spans="1:2" ht="10.5">
      <c r="A50" s="51" t="s">
        <v>537</v>
      </c>
      <c r="B50" s="51" t="s">
        <v>538</v>
      </c>
    </row>
    <row r="51" spans="1:2" ht="10.5">
      <c r="A51" s="51" t="s">
        <v>539</v>
      </c>
      <c r="B51" s="51" t="s">
        <v>540</v>
      </c>
    </row>
    <row r="52" spans="1:2" ht="10.5">
      <c r="A52" s="51" t="s">
        <v>457</v>
      </c>
      <c r="B52" s="51" t="s">
        <v>541</v>
      </c>
    </row>
    <row r="53" spans="1:2" ht="10.5">
      <c r="A53" s="51" t="s">
        <v>458</v>
      </c>
      <c r="B53" s="51" t="s">
        <v>542</v>
      </c>
    </row>
    <row r="54" spans="1:2" ht="10.5">
      <c r="A54" s="51" t="s">
        <v>543</v>
      </c>
      <c r="B54" s="51" t="s">
        <v>544</v>
      </c>
    </row>
    <row r="55" spans="1:2" ht="10.5">
      <c r="A55" s="51" t="s">
        <v>545</v>
      </c>
      <c r="B55" s="51" t="s">
        <v>546</v>
      </c>
    </row>
    <row r="56" spans="1:2" ht="10.5">
      <c r="A56" s="51" t="s">
        <v>547</v>
      </c>
      <c r="B56" s="51" t="s">
        <v>548</v>
      </c>
    </row>
    <row r="57" spans="1:2" ht="10.5">
      <c r="A57" s="230" t="s">
        <v>549</v>
      </c>
      <c r="B57" s="230" t="s">
        <v>550</v>
      </c>
    </row>
    <row r="58" spans="1:2" ht="10.5">
      <c r="A58" s="51" t="s">
        <v>383</v>
      </c>
      <c r="B58" s="51" t="s">
        <v>384</v>
      </c>
    </row>
    <row r="59" spans="1:2" ht="10.5">
      <c r="A59" s="51" t="s">
        <v>385</v>
      </c>
      <c r="B59" s="51" t="s">
        <v>386</v>
      </c>
    </row>
    <row r="60" spans="1:2" ht="10.5">
      <c r="A60" s="51" t="s">
        <v>387</v>
      </c>
      <c r="B60" s="51" t="s">
        <v>388</v>
      </c>
    </row>
    <row r="61" spans="1:2" ht="10.5">
      <c r="A61" s="51" t="s">
        <v>389</v>
      </c>
      <c r="B61" s="51" t="s">
        <v>390</v>
      </c>
    </row>
    <row r="62" spans="1:2" ht="10.5">
      <c r="A62" s="51" t="s">
        <v>258</v>
      </c>
      <c r="B62" s="51" t="s">
        <v>391</v>
      </c>
    </row>
    <row r="63" spans="1:2" ht="10.5">
      <c r="A63" s="51" t="s">
        <v>392</v>
      </c>
      <c r="B63" s="51" t="s">
        <v>250</v>
      </c>
    </row>
    <row r="64" spans="1:2" ht="10.5">
      <c r="A64" s="51" t="s">
        <v>141</v>
      </c>
      <c r="B64" s="51" t="s">
        <v>141</v>
      </c>
    </row>
    <row r="65" spans="1:2" ht="10.5">
      <c r="A65" s="51" t="s">
        <v>480</v>
      </c>
      <c r="B65" s="51" t="s">
        <v>251</v>
      </c>
    </row>
    <row r="66" spans="1:2" ht="10.5">
      <c r="A66" s="51" t="s">
        <v>488</v>
      </c>
      <c r="B66" s="51" t="s">
        <v>252</v>
      </c>
    </row>
    <row r="67" spans="1:2" ht="10.5">
      <c r="A67" s="51" t="s">
        <v>491</v>
      </c>
      <c r="B67" s="51" t="s">
        <v>253</v>
      </c>
    </row>
    <row r="68" spans="1:2" ht="10.5">
      <c r="A68" s="51" t="s">
        <v>125</v>
      </c>
      <c r="B68" s="51" t="s">
        <v>126</v>
      </c>
    </row>
    <row r="69" spans="1:2" ht="10.5">
      <c r="A69" s="51" t="s">
        <v>141</v>
      </c>
      <c r="B69" s="51" t="s">
        <v>141</v>
      </c>
    </row>
    <row r="70" spans="1:2" ht="10.5">
      <c r="A70" s="51" t="s">
        <v>563</v>
      </c>
      <c r="B70" s="51" t="s">
        <v>127</v>
      </c>
    </row>
    <row r="71" spans="1:2" ht="10.5">
      <c r="A71" s="51" t="s">
        <v>128</v>
      </c>
      <c r="B71" s="51" t="s">
        <v>129</v>
      </c>
    </row>
    <row r="72" spans="1:2" ht="10.5">
      <c r="A72" s="51" t="s">
        <v>130</v>
      </c>
      <c r="B72" s="51" t="s">
        <v>131</v>
      </c>
    </row>
    <row r="73" spans="1:2" ht="10.5">
      <c r="A73" s="51" t="s">
        <v>264</v>
      </c>
      <c r="B73" s="51" t="s">
        <v>265</v>
      </c>
    </row>
    <row r="74" spans="1:2" ht="10.5">
      <c r="A74" s="51" t="s">
        <v>345</v>
      </c>
      <c r="B74" s="51" t="s">
        <v>139</v>
      </c>
    </row>
    <row r="75" spans="1:2" ht="10.5">
      <c r="A75" s="51" t="s">
        <v>242</v>
      </c>
      <c r="B75" s="51" t="s">
        <v>140</v>
      </c>
    </row>
    <row r="76" spans="1:2" ht="10.5">
      <c r="A76" s="51" t="s">
        <v>266</v>
      </c>
      <c r="B76" s="51" t="s">
        <v>267</v>
      </c>
    </row>
    <row r="77" spans="1:2" ht="10.5">
      <c r="A77" s="51" t="s">
        <v>141</v>
      </c>
      <c r="B77" s="51" t="s">
        <v>141</v>
      </c>
    </row>
    <row r="78" spans="1:2" ht="10.5">
      <c r="A78" s="51" t="s">
        <v>268</v>
      </c>
      <c r="B78" s="51" t="s">
        <v>269</v>
      </c>
    </row>
    <row r="79" spans="1:2" ht="10.5">
      <c r="A79" s="51" t="s">
        <v>270</v>
      </c>
      <c r="B79" s="51" t="s">
        <v>271</v>
      </c>
    </row>
    <row r="80" spans="1:2" ht="10.5">
      <c r="A80" s="51" t="s">
        <v>272</v>
      </c>
      <c r="B80" s="51" t="s">
        <v>273</v>
      </c>
    </row>
    <row r="81" spans="1:2" ht="10.5">
      <c r="A81" s="236" t="s">
        <v>276</v>
      </c>
      <c r="B81" s="236" t="s">
        <v>142</v>
      </c>
    </row>
    <row r="82" spans="1:2" ht="10.5">
      <c r="A82" s="51" t="s">
        <v>277</v>
      </c>
      <c r="B82" s="51" t="s">
        <v>143</v>
      </c>
    </row>
    <row r="83" spans="1:2" ht="10.5">
      <c r="A83" s="51" t="s">
        <v>278</v>
      </c>
      <c r="B83" s="51" t="s">
        <v>144</v>
      </c>
    </row>
    <row r="84" spans="1:2" ht="10.5">
      <c r="A84" s="51" t="s">
        <v>428</v>
      </c>
      <c r="B84" s="51" t="s">
        <v>145</v>
      </c>
    </row>
    <row r="85" spans="1:2" ht="10.5">
      <c r="A85" s="51" t="s">
        <v>429</v>
      </c>
      <c r="B85" s="51" t="s">
        <v>146</v>
      </c>
    </row>
    <row r="86" spans="1:2" ht="10.5">
      <c r="A86" s="51" t="s">
        <v>430</v>
      </c>
      <c r="B86" s="51" t="s">
        <v>147</v>
      </c>
    </row>
    <row r="87" spans="1:2" ht="10.5">
      <c r="A87" s="51" t="s">
        <v>431</v>
      </c>
      <c r="B87" s="51" t="s">
        <v>297</v>
      </c>
    </row>
    <row r="88" spans="1:2" ht="10.5">
      <c r="A88" s="51" t="s">
        <v>432</v>
      </c>
      <c r="B88" s="51" t="s">
        <v>298</v>
      </c>
    </row>
    <row r="89" spans="1:2" ht="10.5">
      <c r="A89" s="51" t="s">
        <v>574</v>
      </c>
      <c r="B89" s="51" t="s">
        <v>299</v>
      </c>
    </row>
    <row r="90" spans="1:2" ht="10.5">
      <c r="A90" s="51" t="s">
        <v>575</v>
      </c>
      <c r="B90" s="51" t="s">
        <v>300</v>
      </c>
    </row>
    <row r="91" spans="1:2" ht="10.5">
      <c r="A91" s="51" t="s">
        <v>576</v>
      </c>
      <c r="B91" s="51" t="s">
        <v>301</v>
      </c>
    </row>
    <row r="92" spans="1:2" ht="10.5">
      <c r="A92" s="51" t="s">
        <v>577</v>
      </c>
      <c r="B92" s="51" t="s">
        <v>302</v>
      </c>
    </row>
    <row r="93" spans="1:2" ht="10.5">
      <c r="A93" s="51" t="s">
        <v>578</v>
      </c>
      <c r="B93" s="51" t="s">
        <v>295</v>
      </c>
    </row>
    <row r="94" spans="1:2" ht="10.5">
      <c r="A94" s="51" t="s">
        <v>440</v>
      </c>
      <c r="B94" s="51" t="s">
        <v>294</v>
      </c>
    </row>
    <row r="95" spans="1:2" ht="10.5">
      <c r="A95" s="51" t="s">
        <v>441</v>
      </c>
      <c r="B95" s="51" t="s">
        <v>435</v>
      </c>
    </row>
    <row r="96" spans="1:2" ht="10.5">
      <c r="A96" s="51" t="s">
        <v>442</v>
      </c>
      <c r="B96" s="51" t="s">
        <v>436</v>
      </c>
    </row>
    <row r="97" spans="1:2" ht="10.5">
      <c r="A97" s="51" t="s">
        <v>443</v>
      </c>
      <c r="B97" s="51" t="s">
        <v>437</v>
      </c>
    </row>
    <row r="98" spans="1:2" ht="10.5">
      <c r="A98" s="51" t="s">
        <v>444</v>
      </c>
      <c r="B98" s="51" t="s">
        <v>438</v>
      </c>
    </row>
    <row r="99" spans="1:2" ht="10.5">
      <c r="A99" s="51" t="s">
        <v>445</v>
      </c>
      <c r="B99" s="51" t="s">
        <v>439</v>
      </c>
    </row>
    <row r="100" spans="1:2" ht="10.5">
      <c r="A100" s="51" t="s">
        <v>446</v>
      </c>
      <c r="B100" s="51" t="s">
        <v>296</v>
      </c>
    </row>
    <row r="101" spans="1:2" ht="10.5">
      <c r="A101" s="51" t="s">
        <v>447</v>
      </c>
      <c r="B101" s="51" t="s">
        <v>282</v>
      </c>
    </row>
    <row r="102" spans="1:2" ht="10.5">
      <c r="A102" s="51" t="s">
        <v>448</v>
      </c>
      <c r="B102" s="51" t="s">
        <v>283</v>
      </c>
    </row>
    <row r="103" spans="1:2" ht="10.5">
      <c r="A103" s="51" t="s">
        <v>449</v>
      </c>
      <c r="B103" s="51" t="s">
        <v>284</v>
      </c>
    </row>
    <row r="104" spans="1:2" ht="10.5">
      <c r="A104" s="51" t="s">
        <v>393</v>
      </c>
      <c r="B104" s="51" t="s">
        <v>433</v>
      </c>
    </row>
    <row r="105" spans="1:2" ht="10.5">
      <c r="A105" s="51" t="s">
        <v>312</v>
      </c>
      <c r="B105" s="51" t="s">
        <v>434</v>
      </c>
    </row>
    <row r="107" spans="1:2" ht="10.5">
      <c r="A107" s="51" t="s">
        <v>313</v>
      </c>
      <c r="B107" s="51" t="s">
        <v>148</v>
      </c>
    </row>
    <row r="108" spans="1:2" ht="10.5">
      <c r="A108" s="51" t="s">
        <v>314</v>
      </c>
      <c r="B108" s="51" t="s">
        <v>149</v>
      </c>
    </row>
    <row r="109" spans="1:2" ht="10.5">
      <c r="A109" s="51" t="s">
        <v>315</v>
      </c>
      <c r="B109" s="51" t="s">
        <v>150</v>
      </c>
    </row>
    <row r="110" spans="1:2" ht="10.5">
      <c r="A110" s="51" t="s">
        <v>316</v>
      </c>
      <c r="B110" s="51" t="s">
        <v>279</v>
      </c>
    </row>
    <row r="111" spans="1:2" ht="10.5">
      <c r="A111" s="51" t="s">
        <v>317</v>
      </c>
      <c r="B111" s="51" t="s">
        <v>280</v>
      </c>
    </row>
    <row r="112" spans="1:2" ht="10.5">
      <c r="A112" s="51" t="s">
        <v>318</v>
      </c>
      <c r="B112" s="51" t="s">
        <v>281</v>
      </c>
    </row>
    <row r="114" spans="1:2" ht="10.5">
      <c r="A114" s="51" t="s">
        <v>274</v>
      </c>
      <c r="B114" s="51" t="s">
        <v>160</v>
      </c>
    </row>
    <row r="116" spans="1:2" ht="10.5">
      <c r="A116" s="51" t="s">
        <v>275</v>
      </c>
      <c r="B116" s="51" t="s">
        <v>161</v>
      </c>
    </row>
    <row r="118" spans="1:2" ht="10.5">
      <c r="A118" s="51" t="s">
        <v>244</v>
      </c>
      <c r="B118" s="51" t="s">
        <v>35</v>
      </c>
    </row>
    <row r="119" spans="1:2" ht="10.5">
      <c r="A119" s="51" t="s">
        <v>245</v>
      </c>
      <c r="B119" s="51" t="s">
        <v>36</v>
      </c>
    </row>
    <row r="120" spans="1:2" ht="10.5">
      <c r="A120" s="51" t="s">
        <v>246</v>
      </c>
      <c r="B120" s="51" t="s">
        <v>37</v>
      </c>
    </row>
    <row r="121" spans="1:2" ht="10.5">
      <c r="A121" s="51" t="s">
        <v>247</v>
      </c>
      <c r="B121" s="51" t="s">
        <v>38</v>
      </c>
    </row>
    <row r="122" spans="1:2" ht="10.5">
      <c r="A122" s="51" t="s">
        <v>248</v>
      </c>
      <c r="B122" s="51" t="s">
        <v>39</v>
      </c>
    </row>
    <row r="123" spans="1:2" ht="10.5">
      <c r="A123" s="51" t="s">
        <v>249</v>
      </c>
      <c r="B123" s="51" t="s">
        <v>40</v>
      </c>
    </row>
    <row r="124" spans="1:2" ht="10.5">
      <c r="A124" s="51" t="s">
        <v>121</v>
      </c>
      <c r="B124" s="51" t="s">
        <v>41</v>
      </c>
    </row>
    <row r="125" spans="1:2" ht="10.5">
      <c r="A125" s="51" t="s">
        <v>122</v>
      </c>
      <c r="B125" s="51" t="s">
        <v>42</v>
      </c>
    </row>
    <row r="127" spans="1:2" ht="10.5">
      <c r="A127" s="51" t="s">
        <v>320</v>
      </c>
      <c r="B127" s="51" t="s">
        <v>43</v>
      </c>
    </row>
    <row r="128" spans="1:2" ht="10.5">
      <c r="A128" s="51" t="s">
        <v>321</v>
      </c>
      <c r="B128" s="51" t="s">
        <v>79</v>
      </c>
    </row>
    <row r="129" spans="1:2" ht="10.5">
      <c r="A129" s="51" t="s">
        <v>190</v>
      </c>
      <c r="B129" s="51" t="s">
        <v>44</v>
      </c>
    </row>
    <row r="130" spans="1:2" ht="10.5">
      <c r="A130" s="51" t="s">
        <v>193</v>
      </c>
      <c r="B130" s="51" t="s">
        <v>45</v>
      </c>
    </row>
    <row r="131" spans="1:2" ht="10.5">
      <c r="A131" s="51" t="s">
        <v>28</v>
      </c>
      <c r="B131" s="51" t="s">
        <v>46</v>
      </c>
    </row>
    <row r="132" spans="1:2" ht="10.5">
      <c r="A132" s="51" t="s">
        <v>194</v>
      </c>
      <c r="B132" s="51" t="s">
        <v>47</v>
      </c>
    </row>
    <row r="133" spans="1:2" ht="10.5">
      <c r="A133" s="51" t="s">
        <v>259</v>
      </c>
      <c r="B133" s="51" t="s">
        <v>48</v>
      </c>
    </row>
    <row r="134" spans="1:2" ht="10.5">
      <c r="A134" s="51" t="s">
        <v>260</v>
      </c>
      <c r="B134" s="51" t="s">
        <v>72</v>
      </c>
    </row>
    <row r="135" spans="1:2" ht="10.5">
      <c r="A135" s="51" t="s">
        <v>261</v>
      </c>
      <c r="B135" s="51" t="s">
        <v>73</v>
      </c>
    </row>
    <row r="136" spans="1:2" ht="10.5">
      <c r="A136" s="51" t="s">
        <v>262</v>
      </c>
      <c r="B136" s="51" t="s">
        <v>74</v>
      </c>
    </row>
    <row r="137" spans="1:2" ht="10.5">
      <c r="A137" s="51" t="s">
        <v>263</v>
      </c>
      <c r="B137" s="51" t="s">
        <v>75</v>
      </c>
    </row>
    <row r="138" spans="1:2" ht="10.5">
      <c r="A138" s="51" t="s">
        <v>195</v>
      </c>
      <c r="B138" s="51" t="s">
        <v>76</v>
      </c>
    </row>
    <row r="139" spans="1:2" ht="10.5">
      <c r="A139" s="51" t="s">
        <v>196</v>
      </c>
      <c r="B139" s="51" t="s">
        <v>77</v>
      </c>
    </row>
    <row r="140" spans="1:2" ht="10.5">
      <c r="A140" s="51" t="s">
        <v>26</v>
      </c>
      <c r="B140" s="51" t="s">
        <v>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72"/>
  <sheetViews>
    <sheetView zoomScalePageLayoutView="0" workbookViewId="0" topLeftCell="A3">
      <selection activeCell="D9" sqref="D9"/>
    </sheetView>
  </sheetViews>
  <sheetFormatPr defaultColWidth="9.125" defaultRowHeight="12.75" outlineLevelRow="1"/>
  <cols>
    <col min="1" max="1" width="37.75390625" style="51" customWidth="1"/>
    <col min="2" max="14" width="10.75390625" style="51" customWidth="1"/>
    <col min="15" max="16384" width="9.125" style="51" customWidth="1"/>
  </cols>
  <sheetData>
    <row r="1" spans="1:2" s="202" customFormat="1" ht="25.5" customHeight="1" thickBot="1">
      <c r="A1" s="200" t="s">
        <v>464</v>
      </c>
      <c r="B1" s="201"/>
    </row>
    <row r="2" s="36" customFormat="1" ht="10.5"/>
    <row r="3" s="36" customFormat="1" ht="10.5">
      <c r="A3" s="393" t="s">
        <v>120</v>
      </c>
    </row>
    <row r="4" s="36" customFormat="1" ht="10.5">
      <c r="A4" s="393" t="s">
        <v>24</v>
      </c>
    </row>
    <row r="5" s="36" customFormat="1" ht="10.5">
      <c r="A5" s="393" t="s">
        <v>25</v>
      </c>
    </row>
    <row r="6" spans="1:14" s="232" customFormat="1" ht="15.75" customHeight="1">
      <c r="A6" s="233" t="s">
        <v>465</v>
      </c>
      <c r="B6" s="234" t="str">
        <f>Расчеты!B3</f>
        <v>11/2001</v>
      </c>
      <c r="C6" s="234" t="str">
        <f>Расчеты!C3</f>
        <v>12/2001</v>
      </c>
      <c r="D6" s="234" t="str">
        <f>Расчеты!D3</f>
        <v>1/2002</v>
      </c>
      <c r="E6" s="234" t="str">
        <f>Расчеты!E3</f>
        <v>2/2002</v>
      </c>
      <c r="F6" s="234" t="str">
        <f>Расчеты!F3</f>
        <v>3/2002</v>
      </c>
      <c r="G6" s="234" t="str">
        <f>Расчеты!G3</f>
        <v>4/2002</v>
      </c>
      <c r="H6" s="234" t="str">
        <f>Расчеты!H3</f>
        <v>5/2002</v>
      </c>
      <c r="I6" s="234" t="str">
        <f>Расчеты!I3</f>
        <v>6/2002</v>
      </c>
      <c r="J6" s="234" t="str">
        <f>Расчеты!J3</f>
        <v>7/2002</v>
      </c>
      <c r="K6" s="234" t="str">
        <f>Расчеты!K3</f>
        <v>8/2002</v>
      </c>
      <c r="L6" s="234" t="str">
        <f>Расчеты!L3</f>
        <v>9/2002</v>
      </c>
      <c r="M6" s="234" t="str">
        <f>Расчеты!M3</f>
        <v>10/2002</v>
      </c>
      <c r="N6" s="234" t="str">
        <f>Расчеты!N3</f>
        <v>11/2002</v>
      </c>
    </row>
    <row r="7" spans="1:14" s="39" customFormat="1" ht="12.75" customHeight="1">
      <c r="A7" s="37" t="str">
        <f>"    "&amp;Данные!A13&amp;IF((B68+0.1)&lt;C68," ( ! )","")</f>
        <v>    Имиджевая реклама на канале INDARAP</v>
      </c>
      <c r="B7" s="38">
        <f>Данные!C125</f>
        <v>0</v>
      </c>
      <c r="C7" s="38">
        <f>Данные!D125</f>
        <v>0</v>
      </c>
      <c r="D7" s="38">
        <f>Данные!E125</f>
        <v>1000</v>
      </c>
      <c r="E7" s="38">
        <f>Данные!F125</f>
        <v>2000</v>
      </c>
      <c r="F7" s="38">
        <f>Данные!G125</f>
        <v>2000</v>
      </c>
      <c r="G7" s="38">
        <f>Данные!H125</f>
        <v>2000</v>
      </c>
      <c r="H7" s="38">
        <f>Данные!I125</f>
        <v>2000</v>
      </c>
      <c r="I7" s="38">
        <f>Данные!J125</f>
        <v>2000</v>
      </c>
      <c r="J7" s="38">
        <f>Данные!K125</f>
        <v>2000</v>
      </c>
      <c r="K7" s="38">
        <f>Данные!L125</f>
        <v>2000</v>
      </c>
      <c r="L7" s="38">
        <f>Данные!M125</f>
        <v>2000</v>
      </c>
      <c r="M7" s="38">
        <f>Данные!N125</f>
        <v>2000</v>
      </c>
      <c r="N7" s="38">
        <f>Данные!O125</f>
        <v>2000</v>
      </c>
    </row>
    <row r="8" spans="1:14" s="39" customFormat="1" ht="12.75" customHeight="1">
      <c r="A8" s="37" t="str">
        <f>"    "&amp;Данные!A14&amp;IF((B69+0.1)&lt;C69," ( ! )","")</f>
        <v>    Платная регистрация на канале INDARAP "Клетка"</v>
      </c>
      <c r="B8" s="38">
        <f>Данные!C126</f>
        <v>0</v>
      </c>
      <c r="C8" s="38">
        <f>Данные!D126</f>
        <v>0</v>
      </c>
      <c r="D8" s="38">
        <f>Данные!E126</f>
        <v>1000</v>
      </c>
      <c r="E8" s="38">
        <f>Данные!F126</f>
        <v>10000</v>
      </c>
      <c r="F8" s="38">
        <f>Данные!G126</f>
        <v>30000</v>
      </c>
      <c r="G8" s="38">
        <f>Данные!H126</f>
        <v>50000</v>
      </c>
      <c r="H8" s="38">
        <f>Данные!I126</f>
        <v>60000</v>
      </c>
      <c r="I8" s="38">
        <f>Данные!J126</f>
        <v>60000</v>
      </c>
      <c r="J8" s="38">
        <f>Данные!K126</f>
        <v>40000</v>
      </c>
      <c r="K8" s="38">
        <f>Данные!L126</f>
        <v>40000</v>
      </c>
      <c r="L8" s="38">
        <f>Данные!M126</f>
        <v>80000</v>
      </c>
      <c r="M8" s="38">
        <f>Данные!N126</f>
        <v>100000</v>
      </c>
      <c r="N8" s="38">
        <f>Данные!O126</f>
        <v>100000</v>
      </c>
    </row>
    <row r="9" spans="1:14" s="39" customFormat="1" ht="12.75" customHeight="1">
      <c r="A9" s="37" t="str">
        <f>"    "&amp;Данные!A15&amp;IF((B70+0.1)&lt;C70," ( ! )","")</f>
        <v>    СМС голосование за участников проекта "Клетка"</v>
      </c>
      <c r="B9" s="38">
        <f>Данные!C127</f>
        <v>0</v>
      </c>
      <c r="C9" s="38">
        <f>Данные!D127</f>
        <v>0</v>
      </c>
      <c r="D9" s="38">
        <f>Данные!E127</f>
        <v>5000</v>
      </c>
      <c r="E9" s="38">
        <f>Данные!F127</f>
        <v>5000</v>
      </c>
      <c r="F9" s="38">
        <f>Данные!G127</f>
        <v>5000</v>
      </c>
      <c r="G9" s="38">
        <f>Данные!H127</f>
        <v>5000</v>
      </c>
      <c r="H9" s="38">
        <f>Данные!I127</f>
        <v>5000</v>
      </c>
      <c r="I9" s="38">
        <f>Данные!J127</f>
        <v>5000</v>
      </c>
      <c r="J9" s="38">
        <f>Данные!K127</f>
        <v>5000</v>
      </c>
      <c r="K9" s="38">
        <f>Данные!L127</f>
        <v>5000</v>
      </c>
      <c r="L9" s="38">
        <f>Данные!M127</f>
        <v>5000</v>
      </c>
      <c r="M9" s="38">
        <f>Данные!N127</f>
        <v>5000</v>
      </c>
      <c r="N9" s="38">
        <f>Данные!O127</f>
        <v>5000</v>
      </c>
    </row>
    <row r="10" spans="1:14" s="39" customFormat="1" ht="12.75" customHeight="1">
      <c r="A10" s="37" t="str">
        <f>"    "&amp;Данные!A16&amp;IF((B71+0.1)&lt;C71," ( ! )","")</f>
        <v>    Спецпроекты рекламодателей (концерты, шоу…)</v>
      </c>
      <c r="B10" s="38">
        <f>Данные!C128</f>
        <v>0</v>
      </c>
      <c r="C10" s="38">
        <f>Данные!D128</f>
        <v>0</v>
      </c>
      <c r="D10" s="38">
        <f>Данные!E128</f>
        <v>2</v>
      </c>
      <c r="E10" s="38">
        <f>Данные!F128</f>
        <v>3</v>
      </c>
      <c r="F10" s="38">
        <f>Данные!G128</f>
        <v>4</v>
      </c>
      <c r="G10" s="38">
        <f>Данные!H128</f>
        <v>4</v>
      </c>
      <c r="H10" s="38">
        <f>Данные!I128</f>
        <v>4</v>
      </c>
      <c r="I10" s="38">
        <f>Данные!J128</f>
        <v>4</v>
      </c>
      <c r="J10" s="38">
        <f>Данные!K128</f>
        <v>4</v>
      </c>
      <c r="K10" s="38">
        <f>Данные!L128</f>
        <v>4</v>
      </c>
      <c r="L10" s="38">
        <f>Данные!M128</f>
        <v>4</v>
      </c>
      <c r="M10" s="38">
        <f>Данные!N128</f>
        <v>4</v>
      </c>
      <c r="N10" s="38">
        <f>Данные!O128</f>
        <v>4</v>
      </c>
    </row>
    <row r="11" spans="1:14" s="39" customFormat="1" ht="12.75" customHeight="1">
      <c r="A11" s="37" t="str">
        <f>"    "&amp;Данные!A17&amp;IF((B73+0.1)&lt;C73," ( ! )","")</f>
        <v>    Продакт плэйсмент в шоу "Клетка"</v>
      </c>
      <c r="B11" s="38">
        <f>Данные!C129</f>
        <v>0</v>
      </c>
      <c r="C11" s="38">
        <f>Данные!D129</f>
        <v>0</v>
      </c>
      <c r="D11" s="38">
        <f>Данные!E129</f>
        <v>5</v>
      </c>
      <c r="E11" s="38">
        <f>Данные!F129</f>
        <v>5</v>
      </c>
      <c r="F11" s="38">
        <f>Данные!G129</f>
        <v>5</v>
      </c>
      <c r="G11" s="38">
        <f>Данные!H129</f>
        <v>5</v>
      </c>
      <c r="H11" s="38">
        <f>Данные!I129</f>
        <v>5</v>
      </c>
      <c r="I11" s="38">
        <f>Данные!J129</f>
        <v>5</v>
      </c>
      <c r="J11" s="38">
        <f>Данные!K129</f>
        <v>5</v>
      </c>
      <c r="K11" s="38">
        <f>Данные!L129</f>
        <v>5</v>
      </c>
      <c r="L11" s="38">
        <f>Данные!M129</f>
        <v>5</v>
      </c>
      <c r="M11" s="38">
        <f>Данные!N129</f>
        <v>5</v>
      </c>
      <c r="N11" s="38">
        <f>Данные!O129</f>
        <v>5</v>
      </c>
    </row>
    <row r="12" spans="1:14" s="39" customFormat="1" ht="12.75" customHeight="1">
      <c r="A12" s="46"/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</row>
    <row r="13" spans="1:14" s="42" customFormat="1" ht="12.75" customHeight="1">
      <c r="A13" s="46" t="s">
        <v>155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232" customFormat="1" ht="15.75" customHeight="1" outlineLevel="1">
      <c r="A14" s="233" t="s">
        <v>466</v>
      </c>
      <c r="B14" s="234" t="str">
        <f>Расчеты!B3</f>
        <v>11/2001</v>
      </c>
      <c r="C14" s="234" t="str">
        <f>Расчеты!C3</f>
        <v>12/2001</v>
      </c>
      <c r="D14" s="234" t="str">
        <f>Расчеты!D3</f>
        <v>1/2002</v>
      </c>
      <c r="E14" s="234" t="str">
        <f>Расчеты!E3</f>
        <v>2/2002</v>
      </c>
      <c r="F14" s="234" t="str">
        <f>Расчеты!F3</f>
        <v>3/2002</v>
      </c>
      <c r="G14" s="234" t="str">
        <f>Расчеты!G3</f>
        <v>4/2002</v>
      </c>
      <c r="H14" s="234" t="str">
        <f>Расчеты!H3</f>
        <v>5/2002</v>
      </c>
      <c r="I14" s="234" t="str">
        <f>Расчеты!I3</f>
        <v>6/2002</v>
      </c>
      <c r="J14" s="234" t="str">
        <f>Расчеты!J3</f>
        <v>7/2002</v>
      </c>
      <c r="K14" s="234" t="str">
        <f>Расчеты!K3</f>
        <v>8/2002</v>
      </c>
      <c r="L14" s="234" t="str">
        <f>Расчеты!L3</f>
        <v>9/2002</v>
      </c>
      <c r="M14" s="234" t="str">
        <f>Расчеты!M3</f>
        <v>10/2002</v>
      </c>
      <c r="N14" s="234" t="str">
        <f>Расчеты!N3</f>
        <v>11/2002</v>
      </c>
    </row>
    <row r="15" spans="1:14" s="39" customFormat="1" ht="12.75" customHeight="1" outlineLevel="1">
      <c r="A15" s="43" t="str">
        <f>"    "&amp;Данные!A13</f>
        <v>    Имиджевая реклама на канале INDARAP</v>
      </c>
      <c r="B15" s="44">
        <f>Данные!C139*B7</f>
        <v>0</v>
      </c>
      <c r="C15" s="44">
        <f>C7*IF(Данные!$D139="…",Данные!$C139,Данные!D139)</f>
        <v>0</v>
      </c>
      <c r="D15" s="44">
        <f>D7*IF(Данные!$D139="…",Данные!$C139,Данные!E139)</f>
        <v>0</v>
      </c>
      <c r="E15" s="44">
        <f>E7*IF(Данные!$D139="…",Данные!$C139,Данные!F139)</f>
        <v>0</v>
      </c>
      <c r="F15" s="44">
        <f>F7*IF(Данные!$D139="…",Данные!$C139,Данные!G139)</f>
        <v>0</v>
      </c>
      <c r="G15" s="44">
        <f>G7*IF(Данные!$D139="…",Данные!$C139,Данные!H139)</f>
        <v>0</v>
      </c>
      <c r="H15" s="44">
        <f>H7*IF(Данные!$D139="…",Данные!$C139,Данные!I139)</f>
        <v>0</v>
      </c>
      <c r="I15" s="44">
        <f>I7*IF(Данные!$D139="…",Данные!$C139,Данные!J139)</f>
        <v>0</v>
      </c>
      <c r="J15" s="44">
        <f>J7*IF(Данные!$D139="…",Данные!$C139,Данные!K139)</f>
        <v>0</v>
      </c>
      <c r="K15" s="44">
        <f>K7*IF(Данные!$D139="…",Данные!$C139,Данные!L139)</f>
        <v>0</v>
      </c>
      <c r="L15" s="44">
        <f>L7*IF(Данные!$D139="…",Данные!$C139,Данные!M139)</f>
        <v>0</v>
      </c>
      <c r="M15" s="44">
        <f>M7*IF(Данные!$D139="…",Данные!$C139,Данные!N139)</f>
        <v>0</v>
      </c>
      <c r="N15" s="44">
        <f>N7*IF(Данные!$D139="…",Данные!$C139,Данные!O139)</f>
        <v>0</v>
      </c>
    </row>
    <row r="16" spans="1:14" s="39" customFormat="1" ht="12.75" customHeight="1" outlineLevel="1">
      <c r="A16" s="43" t="str">
        <f>"    "&amp;Данные!A14</f>
        <v>    Платная регистрация на канале INDARAP "Клетка"</v>
      </c>
      <c r="B16" s="44">
        <f>Данные!C140*B8</f>
        <v>0</v>
      </c>
      <c r="C16" s="44">
        <f>C8*IF(Данные!$D140="…",Данные!$C140,Данные!D140)</f>
        <v>0</v>
      </c>
      <c r="D16" s="44">
        <f>D8*IF(Данные!$D140="…",Данные!$C140,Данные!E140)</f>
        <v>0</v>
      </c>
      <c r="E16" s="44">
        <f>E8*IF(Данные!$D140="…",Данные!$C140,Данные!F140)</f>
        <v>0</v>
      </c>
      <c r="F16" s="44">
        <f>F8*IF(Данные!$D140="…",Данные!$C140,Данные!G140)</f>
        <v>0</v>
      </c>
      <c r="G16" s="44">
        <f>G8*IF(Данные!$D140="…",Данные!$C140,Данные!H140)</f>
        <v>0</v>
      </c>
      <c r="H16" s="44">
        <f>H8*IF(Данные!$D140="…",Данные!$C140,Данные!I140)</f>
        <v>0</v>
      </c>
      <c r="I16" s="44">
        <f>I8*IF(Данные!$D140="…",Данные!$C140,Данные!J140)</f>
        <v>0</v>
      </c>
      <c r="J16" s="44">
        <f>J8*IF(Данные!$D140="…",Данные!$C140,Данные!K140)</f>
        <v>0</v>
      </c>
      <c r="K16" s="44">
        <f>K8*IF(Данные!$D140="…",Данные!$C140,Данные!L140)</f>
        <v>0</v>
      </c>
      <c r="L16" s="44">
        <f>L8*IF(Данные!$D140="…",Данные!$C140,Данные!M140)</f>
        <v>0</v>
      </c>
      <c r="M16" s="44">
        <f>M8*IF(Данные!$D140="…",Данные!$C140,Данные!N140)</f>
        <v>0</v>
      </c>
      <c r="N16" s="44">
        <f>N8*IF(Данные!$D140="…",Данные!$C140,Данные!O140)</f>
        <v>0</v>
      </c>
    </row>
    <row r="17" spans="1:14" s="39" customFormat="1" ht="12.75" customHeight="1" outlineLevel="1">
      <c r="A17" s="43" t="str">
        <f>"    "&amp;Данные!A15</f>
        <v>    СМС голосование за участников проекта "Клетка"</v>
      </c>
      <c r="B17" s="44">
        <f>Данные!C141*B9</f>
        <v>0</v>
      </c>
      <c r="C17" s="44">
        <f>C9*IF(Данные!$D141="…",Данные!$C141,Данные!D141)</f>
        <v>0</v>
      </c>
      <c r="D17" s="44">
        <f>D9*IF(Данные!$D141="…",Данные!$C141,Данные!E141)</f>
        <v>0</v>
      </c>
      <c r="E17" s="44">
        <f>E9*IF(Данные!$D141="…",Данные!$C141,Данные!F141)</f>
        <v>0</v>
      </c>
      <c r="F17" s="44">
        <f>F9*IF(Данные!$D141="…",Данные!$C141,Данные!G141)</f>
        <v>0</v>
      </c>
      <c r="G17" s="44">
        <f>G9*IF(Данные!$D141="…",Данные!$C141,Данные!H141)</f>
        <v>0</v>
      </c>
      <c r="H17" s="44">
        <f>H9*IF(Данные!$D141="…",Данные!$C141,Данные!I141)</f>
        <v>0</v>
      </c>
      <c r="I17" s="44">
        <f>I9*IF(Данные!$D141="…",Данные!$C141,Данные!J141)</f>
        <v>0</v>
      </c>
      <c r="J17" s="44">
        <f>J9*IF(Данные!$D141="…",Данные!$C141,Данные!K141)</f>
        <v>0</v>
      </c>
      <c r="K17" s="44">
        <f>K9*IF(Данные!$D141="…",Данные!$C141,Данные!L141)</f>
        <v>0</v>
      </c>
      <c r="L17" s="44">
        <f>L9*IF(Данные!$D141="…",Данные!$C141,Данные!M141)</f>
        <v>0</v>
      </c>
      <c r="M17" s="44">
        <f>M9*IF(Данные!$D141="…",Данные!$C141,Данные!N141)</f>
        <v>0</v>
      </c>
      <c r="N17" s="44">
        <f>N9*IF(Данные!$D141="…",Данные!$C141,Данные!O141)</f>
        <v>0</v>
      </c>
    </row>
    <row r="18" spans="1:14" s="39" customFormat="1" ht="12.75" customHeight="1" outlineLevel="1">
      <c r="A18" s="43" t="str">
        <f>"    "&amp;Данные!A16</f>
        <v>    Спецпроекты рекламодателей (концерты, шоу…)</v>
      </c>
      <c r="B18" s="44">
        <f>Данные!C142*B10</f>
        <v>0</v>
      </c>
      <c r="C18" s="44">
        <f>C10*IF(Данные!$D142="…",Данные!$C142,Данные!D142)</f>
        <v>0</v>
      </c>
      <c r="D18" s="44">
        <f>D10*IF(Данные!$D142="…",Данные!$C142,Данные!E142)</f>
        <v>0</v>
      </c>
      <c r="E18" s="44">
        <f>E10*IF(Данные!$D142="…",Данные!$C142,Данные!F142)</f>
        <v>0</v>
      </c>
      <c r="F18" s="44">
        <f>F10*IF(Данные!$D142="…",Данные!$C142,Данные!G142)</f>
        <v>0</v>
      </c>
      <c r="G18" s="44">
        <f>G10*IF(Данные!$D142="…",Данные!$C142,Данные!H142)</f>
        <v>0</v>
      </c>
      <c r="H18" s="44">
        <f>H10*IF(Данные!$D142="…",Данные!$C142,Данные!I142)</f>
        <v>0</v>
      </c>
      <c r="I18" s="44">
        <f>I10*IF(Данные!$D142="…",Данные!$C142,Данные!J142)</f>
        <v>0</v>
      </c>
      <c r="J18" s="44">
        <f>J10*IF(Данные!$D142="…",Данные!$C142,Данные!K142)</f>
        <v>0</v>
      </c>
      <c r="K18" s="44">
        <f>K10*IF(Данные!$D142="…",Данные!$C142,Данные!L142)</f>
        <v>0</v>
      </c>
      <c r="L18" s="44">
        <f>L10*IF(Данные!$D142="…",Данные!$C142,Данные!M142)</f>
        <v>0</v>
      </c>
      <c r="M18" s="44">
        <f>M10*IF(Данные!$D142="…",Данные!$C142,Данные!N142)</f>
        <v>0</v>
      </c>
      <c r="N18" s="44">
        <f>N10*IF(Данные!$D142="…",Данные!$C142,Данные!O142)</f>
        <v>0</v>
      </c>
    </row>
    <row r="19" spans="1:14" s="39" customFormat="1" ht="12.75" customHeight="1" outlineLevel="1">
      <c r="A19" s="43" t="str">
        <f>"    "&amp;Данные!A17</f>
        <v>    Продакт плэйсмент в шоу "Клетка"</v>
      </c>
      <c r="B19" s="44">
        <f>Данные!C143*B11</f>
        <v>0</v>
      </c>
      <c r="C19" s="44">
        <f>C11*IF(Данные!$D143="…",Данные!$C143,Данные!D143)</f>
        <v>0</v>
      </c>
      <c r="D19" s="44">
        <f>D11*IF(Данные!$D143="…",Данные!$C143,Данные!E143)</f>
        <v>0</v>
      </c>
      <c r="E19" s="44">
        <f>E11*IF(Данные!$D143="…",Данные!$C143,Данные!F143)</f>
        <v>0</v>
      </c>
      <c r="F19" s="44">
        <f>F11*IF(Данные!$D143="…",Данные!$C143,Данные!G143)</f>
        <v>0</v>
      </c>
      <c r="G19" s="44">
        <f>G11*IF(Данные!$D143="…",Данные!$C143,Данные!H143)</f>
        <v>0</v>
      </c>
      <c r="H19" s="44">
        <f>H11*IF(Данные!$D143="…",Данные!$C143,Данные!I143)</f>
        <v>0</v>
      </c>
      <c r="I19" s="44">
        <f>I11*IF(Данные!$D143="…",Данные!$C143,Данные!J143)</f>
        <v>0</v>
      </c>
      <c r="J19" s="44">
        <f>J11*IF(Данные!$D143="…",Данные!$C143,Данные!K143)</f>
        <v>0</v>
      </c>
      <c r="K19" s="44">
        <f>K11*IF(Данные!$D143="…",Данные!$C143,Данные!L143)</f>
        <v>0</v>
      </c>
      <c r="L19" s="44">
        <f>L11*IF(Данные!$D143="…",Данные!$C143,Данные!M143)</f>
        <v>0</v>
      </c>
      <c r="M19" s="44">
        <f>M11*IF(Данные!$D143="…",Данные!$C143,Данные!N143)</f>
        <v>0</v>
      </c>
      <c r="N19" s="44">
        <f>N11*IF(Данные!$D143="…",Данные!$C143,Данные!O143)</f>
        <v>0</v>
      </c>
    </row>
    <row r="20" spans="1:14" s="39" customFormat="1" ht="12.75" customHeight="1" outlineLevel="1">
      <c r="A20" s="40" t="s">
        <v>400</v>
      </c>
      <c r="B20" s="45">
        <f ca="1">SUM(B15:OFFSET(B15,PRODUCTS_NUM-1,0))</f>
        <v>0</v>
      </c>
      <c r="C20" s="45">
        <f ca="1">SUM(C15:OFFSET(C15,PRODUCTS_NUM-1,0))</f>
        <v>0</v>
      </c>
      <c r="D20" s="45">
        <f ca="1">SUM(D15:OFFSET(D15,PRODUCTS_NUM-1,0))</f>
        <v>0</v>
      </c>
      <c r="E20" s="45">
        <f ca="1">SUM(E15:OFFSET(E15,PRODUCTS_NUM-1,0))</f>
        <v>0</v>
      </c>
      <c r="F20" s="45">
        <f ca="1">SUM(F15:OFFSET(F15,PRODUCTS_NUM-1,0))</f>
        <v>0</v>
      </c>
      <c r="G20" s="45">
        <f ca="1">SUM(G15:OFFSET(G15,PRODUCTS_NUM-1,0))</f>
        <v>0</v>
      </c>
      <c r="H20" s="45">
        <f ca="1">SUM(H15:OFFSET(H15,PRODUCTS_NUM-1,0))</f>
        <v>0</v>
      </c>
      <c r="I20" s="45">
        <f ca="1">SUM(I15:OFFSET(I15,PRODUCTS_NUM-1,0))</f>
        <v>0</v>
      </c>
      <c r="J20" s="45">
        <f ca="1">SUM(J15:OFFSET(J15,PRODUCTS_NUM-1,0))</f>
        <v>0</v>
      </c>
      <c r="K20" s="45">
        <f ca="1">SUM(K15:OFFSET(K15,PRODUCTS_NUM-1,0))</f>
        <v>0</v>
      </c>
      <c r="L20" s="45">
        <f ca="1">SUM(L15:OFFSET(L15,PRODUCTS_NUM-1,0))</f>
        <v>0</v>
      </c>
      <c r="M20" s="45">
        <f ca="1">SUM(M15:OFFSET(M15,PRODUCTS_NUM-1,0))</f>
        <v>0</v>
      </c>
      <c r="N20" s="45">
        <f ca="1">SUM(N15:OFFSET(N15,PRODUCTS_NUM-1,0))</f>
        <v>0</v>
      </c>
    </row>
    <row r="21" spans="1:14" s="39" customFormat="1" ht="12.75" customHeight="1" outlineLevel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s="232" customFormat="1" ht="15.75" customHeight="1" outlineLevel="1">
      <c r="A22" s="233" t="s">
        <v>467</v>
      </c>
      <c r="B22" s="234" t="str">
        <f>Расчеты!B3</f>
        <v>11/2001</v>
      </c>
      <c r="C22" s="234" t="str">
        <f>Расчеты!C3</f>
        <v>12/2001</v>
      </c>
      <c r="D22" s="234" t="str">
        <f>Расчеты!D3</f>
        <v>1/2002</v>
      </c>
      <c r="E22" s="234" t="str">
        <f>Расчеты!E3</f>
        <v>2/2002</v>
      </c>
      <c r="F22" s="234" t="str">
        <f>Расчеты!F3</f>
        <v>3/2002</v>
      </c>
      <c r="G22" s="234" t="str">
        <f>Расчеты!G3</f>
        <v>4/2002</v>
      </c>
      <c r="H22" s="234" t="str">
        <f>Расчеты!H3</f>
        <v>5/2002</v>
      </c>
      <c r="I22" s="234" t="str">
        <f>Расчеты!I3</f>
        <v>6/2002</v>
      </c>
      <c r="J22" s="234" t="str">
        <f>Расчеты!J3</f>
        <v>7/2002</v>
      </c>
      <c r="K22" s="234" t="str">
        <f>Расчеты!K3</f>
        <v>8/2002</v>
      </c>
      <c r="L22" s="234" t="str">
        <f>Расчеты!L3</f>
        <v>9/2002</v>
      </c>
      <c r="M22" s="234" t="str">
        <f>Расчеты!M3</f>
        <v>10/2002</v>
      </c>
      <c r="N22" s="234" t="str">
        <f>Расчеты!N3</f>
        <v>11/2002</v>
      </c>
    </row>
    <row r="23" spans="1:14" s="36" customFormat="1" ht="10.5" outlineLevel="1">
      <c r="A23" s="48" t="str">
        <f>"    "&amp;Данные!A13</f>
        <v>    Имиджевая реклама на канале INDARAP</v>
      </c>
      <c r="B23" s="49">
        <f>Данные!C146*B7</f>
        <v>0</v>
      </c>
      <c r="C23" s="49">
        <f>C7*IF(Данные!$D146="…",Данные!$C146,Данные!D146)</f>
        <v>0</v>
      </c>
      <c r="D23" s="49">
        <f>D7*IF(Данные!$D146="…",Данные!$C146,Данные!E146)</f>
        <v>0</v>
      </c>
      <c r="E23" s="49">
        <f>E7*IF(Данные!$D146="…",Данные!$C146,Данные!F146)</f>
        <v>0</v>
      </c>
      <c r="F23" s="49">
        <f>F7*IF(Данные!$D146="…",Данные!$C146,Данные!G146)</f>
        <v>0</v>
      </c>
      <c r="G23" s="49">
        <f>G7*IF(Данные!$D146="…",Данные!$C146,Данные!H146)</f>
        <v>0</v>
      </c>
      <c r="H23" s="49">
        <f>H7*IF(Данные!$D146="…",Данные!$C146,Данные!I146)</f>
        <v>0</v>
      </c>
      <c r="I23" s="49">
        <f>I7*IF(Данные!$D146="…",Данные!$C146,Данные!J146)</f>
        <v>0</v>
      </c>
      <c r="J23" s="49">
        <f>J7*IF(Данные!$D146="…",Данные!$C146,Данные!K146)</f>
        <v>0</v>
      </c>
      <c r="K23" s="49">
        <f>K7*IF(Данные!$D146="…",Данные!$C146,Данные!L146)</f>
        <v>0</v>
      </c>
      <c r="L23" s="49">
        <f>L7*IF(Данные!$D146="…",Данные!$C146,Данные!M146)</f>
        <v>0</v>
      </c>
      <c r="M23" s="49">
        <f>M7*IF(Данные!$D146="…",Данные!$C146,Данные!N146)</f>
        <v>0</v>
      </c>
      <c r="N23" s="49">
        <f>N7*IF(Данные!$D146="…",Данные!$C146,Данные!O146)</f>
        <v>0</v>
      </c>
    </row>
    <row r="24" spans="1:14" s="36" customFormat="1" ht="10.5" outlineLevel="1">
      <c r="A24" s="48" t="str">
        <f>"    "&amp;Данные!A14</f>
        <v>    Платная регистрация на канале INDARAP "Клетка"</v>
      </c>
      <c r="B24" s="49">
        <f>Данные!C147*B8</f>
        <v>0</v>
      </c>
      <c r="C24" s="49">
        <f>C8*IF(Данные!$D147="…",Данные!$C147,Данные!D147)</f>
        <v>0</v>
      </c>
      <c r="D24" s="49">
        <f>D8*IF(Данные!$D147="…",Данные!$C147,Данные!E147)</f>
        <v>0</v>
      </c>
      <c r="E24" s="49">
        <f>E8*IF(Данные!$D147="…",Данные!$C147,Данные!F147)</f>
        <v>0</v>
      </c>
      <c r="F24" s="49">
        <f>F8*IF(Данные!$D147="…",Данные!$C147,Данные!G147)</f>
        <v>0</v>
      </c>
      <c r="G24" s="49">
        <f>G8*IF(Данные!$D147="…",Данные!$C147,Данные!H147)</f>
        <v>0</v>
      </c>
      <c r="H24" s="49">
        <f>H8*IF(Данные!$D147="…",Данные!$C147,Данные!I147)</f>
        <v>0</v>
      </c>
      <c r="I24" s="49">
        <f>I8*IF(Данные!$D147="…",Данные!$C147,Данные!J147)</f>
        <v>0</v>
      </c>
      <c r="J24" s="49">
        <f>J8*IF(Данные!$D147="…",Данные!$C147,Данные!K147)</f>
        <v>0</v>
      </c>
      <c r="K24" s="49">
        <f>K8*IF(Данные!$D147="…",Данные!$C147,Данные!L147)</f>
        <v>0</v>
      </c>
      <c r="L24" s="49">
        <f>L8*IF(Данные!$D147="…",Данные!$C147,Данные!M147)</f>
        <v>0</v>
      </c>
      <c r="M24" s="49">
        <f>M8*IF(Данные!$D147="…",Данные!$C147,Данные!N147)</f>
        <v>0</v>
      </c>
      <c r="N24" s="49">
        <f>N8*IF(Данные!$D147="…",Данные!$C147,Данные!O147)</f>
        <v>0</v>
      </c>
    </row>
    <row r="25" spans="1:14" s="36" customFormat="1" ht="10.5" outlineLevel="1">
      <c r="A25" s="48" t="str">
        <f>"    "&amp;Данные!A15</f>
        <v>    СМС голосование за участников проекта "Клетка"</v>
      </c>
      <c r="B25" s="49">
        <f>Данные!C148*B9</f>
        <v>0</v>
      </c>
      <c r="C25" s="49">
        <f>C9*IF(Данные!$D148="…",Данные!$C148,Данные!D148)</f>
        <v>0</v>
      </c>
      <c r="D25" s="49">
        <f>D9*IF(Данные!$D148="…",Данные!$C148,Данные!E148)</f>
        <v>0</v>
      </c>
      <c r="E25" s="49">
        <f>E9*IF(Данные!$D148="…",Данные!$C148,Данные!F148)</f>
        <v>0</v>
      </c>
      <c r="F25" s="49">
        <f>F9*IF(Данные!$D148="…",Данные!$C148,Данные!G148)</f>
        <v>0</v>
      </c>
      <c r="G25" s="49">
        <f>G9*IF(Данные!$D148="…",Данные!$C148,Данные!H148)</f>
        <v>0</v>
      </c>
      <c r="H25" s="49">
        <f>H9*IF(Данные!$D148="…",Данные!$C148,Данные!I148)</f>
        <v>0</v>
      </c>
      <c r="I25" s="49">
        <f>I9*IF(Данные!$D148="…",Данные!$C148,Данные!J148)</f>
        <v>0</v>
      </c>
      <c r="J25" s="49">
        <f>J9*IF(Данные!$D148="…",Данные!$C148,Данные!K148)</f>
        <v>0</v>
      </c>
      <c r="K25" s="49">
        <f>K9*IF(Данные!$D148="…",Данные!$C148,Данные!L148)</f>
        <v>0</v>
      </c>
      <c r="L25" s="49">
        <f>L9*IF(Данные!$D148="…",Данные!$C148,Данные!M148)</f>
        <v>0</v>
      </c>
      <c r="M25" s="49">
        <f>M9*IF(Данные!$D148="…",Данные!$C148,Данные!N148)</f>
        <v>0</v>
      </c>
      <c r="N25" s="49">
        <f>N9*IF(Данные!$D148="…",Данные!$C148,Данные!O148)</f>
        <v>0</v>
      </c>
    </row>
    <row r="26" spans="1:14" s="36" customFormat="1" ht="10.5" outlineLevel="1">
      <c r="A26" s="48" t="str">
        <f>"    "&amp;Данные!A16</f>
        <v>    Спецпроекты рекламодателей (концерты, шоу…)</v>
      </c>
      <c r="B26" s="49">
        <f>Данные!C149*B10</f>
        <v>0</v>
      </c>
      <c r="C26" s="49">
        <f>C10*IF(Данные!$D149="…",Данные!$C149,Данные!D149)</f>
        <v>0</v>
      </c>
      <c r="D26" s="49">
        <f>D10*IF(Данные!$D149="…",Данные!$C149,Данные!E149)</f>
        <v>0</v>
      </c>
      <c r="E26" s="49">
        <f>E10*IF(Данные!$D149="…",Данные!$C149,Данные!F149)</f>
        <v>0</v>
      </c>
      <c r="F26" s="49">
        <f>F10*IF(Данные!$D149="…",Данные!$C149,Данные!G149)</f>
        <v>0</v>
      </c>
      <c r="G26" s="49">
        <f>G10*IF(Данные!$D149="…",Данные!$C149,Данные!H149)</f>
        <v>0</v>
      </c>
      <c r="H26" s="49">
        <f>H10*IF(Данные!$D149="…",Данные!$C149,Данные!I149)</f>
        <v>0</v>
      </c>
      <c r="I26" s="49">
        <f>I10*IF(Данные!$D149="…",Данные!$C149,Данные!J149)</f>
        <v>0</v>
      </c>
      <c r="J26" s="49">
        <f>J10*IF(Данные!$D149="…",Данные!$C149,Данные!K149)</f>
        <v>0</v>
      </c>
      <c r="K26" s="49">
        <f>K10*IF(Данные!$D149="…",Данные!$C149,Данные!L149)</f>
        <v>0</v>
      </c>
      <c r="L26" s="49">
        <f>L10*IF(Данные!$D149="…",Данные!$C149,Данные!M149)</f>
        <v>0</v>
      </c>
      <c r="M26" s="49">
        <f>M10*IF(Данные!$D149="…",Данные!$C149,Данные!N149)</f>
        <v>0</v>
      </c>
      <c r="N26" s="49">
        <f>N10*IF(Данные!$D149="…",Данные!$C149,Данные!O149)</f>
        <v>0</v>
      </c>
    </row>
    <row r="27" spans="1:14" s="36" customFormat="1" ht="10.5" outlineLevel="1">
      <c r="A27" s="48" t="str">
        <f>"    "&amp;Данные!A17</f>
        <v>    Продакт плэйсмент в шоу "Клетка"</v>
      </c>
      <c r="B27" s="49">
        <f>Данные!C150*B11</f>
        <v>0</v>
      </c>
      <c r="C27" s="49">
        <f>C11*IF(Данные!$D150="…",Данные!$C150,Данные!D150)</f>
        <v>0</v>
      </c>
      <c r="D27" s="49">
        <f>D11*IF(Данные!$D150="…",Данные!$C150,Данные!E150)</f>
        <v>0</v>
      </c>
      <c r="E27" s="49">
        <f>E11*IF(Данные!$D150="…",Данные!$C150,Данные!F150)</f>
        <v>0</v>
      </c>
      <c r="F27" s="49">
        <f>F11*IF(Данные!$D150="…",Данные!$C150,Данные!G150)</f>
        <v>0</v>
      </c>
      <c r="G27" s="49">
        <f>G11*IF(Данные!$D150="…",Данные!$C150,Данные!H150)</f>
        <v>0</v>
      </c>
      <c r="H27" s="49">
        <f>H11*IF(Данные!$D150="…",Данные!$C150,Данные!I150)</f>
        <v>0</v>
      </c>
      <c r="I27" s="49">
        <f>I11*IF(Данные!$D150="…",Данные!$C150,Данные!J150)</f>
        <v>0</v>
      </c>
      <c r="J27" s="49">
        <f>J11*IF(Данные!$D150="…",Данные!$C150,Данные!K150)</f>
        <v>0</v>
      </c>
      <c r="K27" s="49">
        <f>K11*IF(Данные!$D150="…",Данные!$C150,Данные!L150)</f>
        <v>0</v>
      </c>
      <c r="L27" s="49">
        <f>L11*IF(Данные!$D150="…",Данные!$C150,Данные!M150)</f>
        <v>0</v>
      </c>
      <c r="M27" s="49">
        <f>M11*IF(Данные!$D150="…",Данные!$C150,Данные!N150)</f>
        <v>0</v>
      </c>
      <c r="N27" s="49">
        <f>N11*IF(Данные!$D150="…",Данные!$C150,Данные!O150)</f>
        <v>0</v>
      </c>
    </row>
    <row r="28" spans="1:14" ht="10.5" outlineLevel="1">
      <c r="A28" s="50" t="s">
        <v>400</v>
      </c>
      <c r="B28" s="45">
        <f ca="1">SUM(B23:OFFSET(B23,PRODUCTS_NUM-1,0))</f>
        <v>0</v>
      </c>
      <c r="C28" s="45">
        <f ca="1">SUM(C23:OFFSET(C23,PRODUCTS_NUM-1,0))</f>
        <v>0</v>
      </c>
      <c r="D28" s="45">
        <f ca="1">SUM(D23:OFFSET(D23,PRODUCTS_NUM-1,0))</f>
        <v>0</v>
      </c>
      <c r="E28" s="45">
        <f ca="1">SUM(E23:OFFSET(E23,PRODUCTS_NUM-1,0))</f>
        <v>0</v>
      </c>
      <c r="F28" s="45">
        <f ca="1">SUM(F23:OFFSET(F23,PRODUCTS_NUM-1,0))</f>
        <v>0</v>
      </c>
      <c r="G28" s="45">
        <f ca="1">SUM(G23:OFFSET(G23,PRODUCTS_NUM-1,0))</f>
        <v>0</v>
      </c>
      <c r="H28" s="45">
        <f ca="1">SUM(H23:OFFSET(H23,PRODUCTS_NUM-1,0))</f>
        <v>0</v>
      </c>
      <c r="I28" s="45">
        <f ca="1">SUM(I23:OFFSET(I23,PRODUCTS_NUM-1,0))</f>
        <v>0</v>
      </c>
      <c r="J28" s="45">
        <f ca="1">SUM(J23:OFFSET(J23,PRODUCTS_NUM-1,0))</f>
        <v>0</v>
      </c>
      <c r="K28" s="45">
        <f ca="1">SUM(K23:OFFSET(K23,PRODUCTS_NUM-1,0))</f>
        <v>0</v>
      </c>
      <c r="L28" s="45">
        <f ca="1">SUM(L23:OFFSET(L23,PRODUCTS_NUM-1,0))</f>
        <v>0</v>
      </c>
      <c r="M28" s="45">
        <f ca="1">SUM(M23:OFFSET(M23,PRODUCTS_NUM-1,0))</f>
        <v>0</v>
      </c>
      <c r="N28" s="45">
        <f ca="1">SUM(N23:OFFSET(N23,PRODUCTS_NUM-1,0))</f>
        <v>0</v>
      </c>
    </row>
    <row r="29" spans="1:14" s="42" customFormat="1" ht="12.75" customHeight="1" outlineLevel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ht="12" outlineLevel="1" thickBot="1"/>
    <row r="31" spans="1:2" s="202" customFormat="1" ht="25.5" customHeight="1" outlineLevel="1" thickBot="1">
      <c r="A31" s="200" t="str">
        <f>"ПРОДАЖИ ПО ПРОДУКТАМ ("&amp;CURRENCY_NAME&amp;")"</f>
        <v>ПРОДАЖИ ПО ПРОДУКТАМ (руб.)</v>
      </c>
      <c r="B31" s="201"/>
    </row>
    <row r="32" s="36" customFormat="1" ht="10.5" outlineLevel="1"/>
    <row r="33" spans="1:14" s="232" customFormat="1" ht="15.75" customHeight="1" outlineLevel="1">
      <c r="A33" s="233" t="s">
        <v>468</v>
      </c>
      <c r="B33" s="234" t="str">
        <f>Расчеты!B3</f>
        <v>11/2001</v>
      </c>
      <c r="C33" s="234" t="str">
        <f>Расчеты!C3</f>
        <v>12/2001</v>
      </c>
      <c r="D33" s="234" t="str">
        <f>Расчеты!D3</f>
        <v>1/2002</v>
      </c>
      <c r="E33" s="234" t="str">
        <f>Расчеты!E3</f>
        <v>2/2002</v>
      </c>
      <c r="F33" s="234" t="str">
        <f>Расчеты!F3</f>
        <v>3/2002</v>
      </c>
      <c r="G33" s="234" t="str">
        <f>Расчеты!G3</f>
        <v>4/2002</v>
      </c>
      <c r="H33" s="234" t="str">
        <f>Расчеты!H3</f>
        <v>5/2002</v>
      </c>
      <c r="I33" s="234" t="str">
        <f>Расчеты!I3</f>
        <v>6/2002</v>
      </c>
      <c r="J33" s="234" t="str">
        <f>Расчеты!J3</f>
        <v>7/2002</v>
      </c>
      <c r="K33" s="234" t="str">
        <f>Расчеты!K3</f>
        <v>8/2002</v>
      </c>
      <c r="L33" s="234" t="str">
        <f>Расчеты!L3</f>
        <v>9/2002</v>
      </c>
      <c r="M33" s="234" t="str">
        <f>Расчеты!M3</f>
        <v>10/2002</v>
      </c>
      <c r="N33" s="234" t="str">
        <f>Расчеты!N3</f>
        <v>11/2002</v>
      </c>
    </row>
    <row r="34" spans="1:14" s="39" customFormat="1" ht="12.75" customHeight="1" outlineLevel="1">
      <c r="A34" s="43" t="str">
        <f>"    "&amp;Данные!A13</f>
        <v>    Имиджевая реклама на канале INDARAP</v>
      </c>
      <c r="B34" s="44">
        <f>Данные!C125*Данные!C132</f>
        <v>0</v>
      </c>
      <c r="C34" s="44">
        <f>Данные!D125*IF(Данные!$D132="…",Данные!$C132,Данные!D132)</f>
        <v>0</v>
      </c>
      <c r="D34" s="44">
        <f>Данные!E125*IF(Данные!$D132="…",Данные!$C132,Данные!E132)</f>
        <v>270000</v>
      </c>
      <c r="E34" s="44">
        <f>Данные!F125*IF(Данные!$D132="…",Данные!$C132,Данные!F132)</f>
        <v>540000</v>
      </c>
      <c r="F34" s="44">
        <f>Данные!G125*IF(Данные!$D132="…",Данные!$C132,Данные!G132)</f>
        <v>540000</v>
      </c>
      <c r="G34" s="44">
        <f>Данные!H125*IF(Данные!$D132="…",Данные!$C132,Данные!H132)</f>
        <v>540000</v>
      </c>
      <c r="H34" s="44">
        <f>Данные!I125*IF(Данные!$D132="…",Данные!$C132,Данные!I132)</f>
        <v>540000</v>
      </c>
      <c r="I34" s="44">
        <f>Данные!J125*IF(Данные!$D132="…",Данные!$C132,Данные!J132)</f>
        <v>540000</v>
      </c>
      <c r="J34" s="44">
        <f>Данные!K125*IF(Данные!$D132="…",Данные!$C132,Данные!K132)</f>
        <v>540000</v>
      </c>
      <c r="K34" s="44">
        <f>Данные!L125*IF(Данные!$D132="…",Данные!$C132,Данные!L132)</f>
        <v>540000</v>
      </c>
      <c r="L34" s="44">
        <f>Данные!M125*IF(Данные!$D132="…",Данные!$C132,Данные!M132)</f>
        <v>540000</v>
      </c>
      <c r="M34" s="44">
        <f>Данные!N125*IF(Данные!$D132="…",Данные!$C132,Данные!N132)</f>
        <v>540000</v>
      </c>
      <c r="N34" s="44">
        <f>Данные!O125*IF(Данные!$D132="…",Данные!$C132,Данные!O132)</f>
        <v>540000</v>
      </c>
    </row>
    <row r="35" spans="1:14" s="39" customFormat="1" ht="12.75" customHeight="1" outlineLevel="1">
      <c r="A35" s="37" t="str">
        <f>"    "&amp;Данные!A14</f>
        <v>    Платная регистрация на канале INDARAP "Клетка"</v>
      </c>
      <c r="B35" s="52">
        <f>Данные!C126*Данные!C133</f>
        <v>0</v>
      </c>
      <c r="C35" s="44">
        <f>Данные!D126*IF(Данные!$D133="…",Данные!$C133,Данные!D133)</f>
        <v>0</v>
      </c>
      <c r="D35" s="44">
        <f>Данные!E126*IF(Данные!$D133="…",Данные!$C133,Данные!E133)</f>
        <v>10000</v>
      </c>
      <c r="E35" s="44">
        <f>Данные!F126*IF(Данные!$D133="…",Данные!$C133,Данные!F133)</f>
        <v>300000</v>
      </c>
      <c r="F35" s="44">
        <f>Данные!G126*IF(Данные!$D133="…",Данные!$C133,Данные!G133)</f>
        <v>900000</v>
      </c>
      <c r="G35" s="44">
        <f>Данные!H126*IF(Данные!$D133="…",Данные!$C133,Данные!H133)</f>
        <v>1500000</v>
      </c>
      <c r="H35" s="44">
        <f>Данные!I126*IF(Данные!$D133="…",Данные!$C133,Данные!I133)</f>
        <v>1800000</v>
      </c>
      <c r="I35" s="44">
        <f>Данные!J126*IF(Данные!$D133="…",Данные!$C133,Данные!I133)</f>
        <v>1800000</v>
      </c>
      <c r="J35" s="44">
        <f>Данные!K126*IF(Данные!$D133="…",Данные!$C133,Данные!J133)</f>
        <v>1200000</v>
      </c>
      <c r="K35" s="44">
        <f>Данные!L126*IF(Данные!$D133="…",Данные!$C133,Данные!K133)</f>
        <v>1200000</v>
      </c>
      <c r="L35" s="44">
        <f>Данные!M126*IF(Данные!$D133="…",Данные!$C133,Данные!L133)</f>
        <v>2400000</v>
      </c>
      <c r="M35" s="44">
        <f>Данные!N126*IF(Данные!$D133="…",Данные!$C133,Данные!M133)</f>
        <v>3000000</v>
      </c>
      <c r="N35" s="44">
        <f>Данные!O126*IF(Данные!$D133="…",Данные!$C133,Данные!O133)</f>
        <v>3000000</v>
      </c>
    </row>
    <row r="36" spans="1:14" s="39" customFormat="1" ht="12.75" customHeight="1" outlineLevel="1">
      <c r="A36" s="37" t="str">
        <f>"    "&amp;Данные!A15</f>
        <v>    СМС голосование за участников проекта "Клетка"</v>
      </c>
      <c r="B36" s="52">
        <f>Данные!C127*Данные!C134</f>
        <v>0</v>
      </c>
      <c r="C36" s="44">
        <f>Данные!D127*IF(Данные!$D134="…",Данные!$C134,Данные!D134)</f>
        <v>0</v>
      </c>
      <c r="D36" s="44">
        <f>Данные!E127*IF(Данные!$D134="…",Данные!$C134,Данные!E134)</f>
        <v>40000</v>
      </c>
      <c r="E36" s="44">
        <f>Данные!F127*IF(Данные!$D134="…",Данные!$C134,Данные!F134)</f>
        <v>40000</v>
      </c>
      <c r="F36" s="44">
        <f>Данные!G127*IF(Данные!$D134="…",Данные!$C134,Данные!G134)</f>
        <v>40000</v>
      </c>
      <c r="G36" s="44">
        <f>Данные!H127*IF(Данные!$D134="…",Данные!$C134,Данные!H134)</f>
        <v>40000</v>
      </c>
      <c r="H36" s="44">
        <f>Данные!I127*IF(Данные!$D134="…",Данные!$C134,Данные!I134)</f>
        <v>40000</v>
      </c>
      <c r="I36" s="44">
        <f>Данные!J127*IF(Данные!$D134="…",Данные!$C134,Данные!H134)</f>
        <v>40000</v>
      </c>
      <c r="J36" s="44">
        <f>Данные!K127*IF(Данные!$D134="…",Данные!$C134,Данные!I134)</f>
        <v>40000</v>
      </c>
      <c r="K36" s="44">
        <f>Данные!L127*IF(Данные!$D134="…",Данные!$C134,Данные!J134)</f>
        <v>40000</v>
      </c>
      <c r="L36" s="44">
        <f>Данные!M127*IF(Данные!$D134="…",Данные!$C134,Данные!K134)</f>
        <v>40000</v>
      </c>
      <c r="M36" s="44">
        <f>Данные!N127*IF(Данные!$D134="…",Данные!$C134,Данные!L134)</f>
        <v>40000</v>
      </c>
      <c r="N36" s="44">
        <f>Данные!O127*IF(Данные!$D134="…",Данные!$C134,Данные!O134)</f>
        <v>40000</v>
      </c>
    </row>
    <row r="37" spans="1:14" s="39" customFormat="1" ht="12.75" customHeight="1" outlineLevel="1">
      <c r="A37" s="37" t="str">
        <f>"    "&amp;Данные!A16</f>
        <v>    Спецпроекты рекламодателей (концерты, шоу…)</v>
      </c>
      <c r="B37" s="52">
        <f>Данные!C128*Данные!C135</f>
        <v>0</v>
      </c>
      <c r="C37" s="44">
        <f>Данные!D128*IF(Данные!$D135="…",Данные!$C135,Данные!D135)</f>
        <v>0</v>
      </c>
      <c r="D37" s="44">
        <f>Данные!E128*IF(Данные!$D135="…",Данные!$C135,Данные!E135)</f>
        <v>40000</v>
      </c>
      <c r="E37" s="44">
        <f>Данные!F128*IF(Данные!$D135="…",Данные!$C135,Данные!F135)</f>
        <v>60000</v>
      </c>
      <c r="F37" s="44">
        <f>Данные!G128*IF(Данные!$D135="…",Данные!$C135,Данные!G135)</f>
        <v>80000</v>
      </c>
      <c r="G37" s="44">
        <f>Данные!H128*IF(Данные!$D135="…",Данные!$C135,Данные!H135)</f>
        <v>400000</v>
      </c>
      <c r="H37" s="44">
        <f>Данные!I128*IF(Данные!$D135="…",Данные!$C135,Данные!I135)</f>
        <v>400000</v>
      </c>
      <c r="I37" s="44">
        <f>Данные!J128*IF(Данные!$D135="…",Данные!$C135,Данные!H135)</f>
        <v>400000</v>
      </c>
      <c r="J37" s="44">
        <f>Данные!K128*IF(Данные!$D135="…",Данные!$C135,Данные!I135)</f>
        <v>400000</v>
      </c>
      <c r="K37" s="44">
        <f>Данные!L128*IF(Данные!$D135="…",Данные!$C135,Данные!J135)</f>
        <v>400000</v>
      </c>
      <c r="L37" s="44">
        <f>Данные!M128*IF(Данные!$D135="…",Данные!$C135,Данные!M135)</f>
        <v>400000</v>
      </c>
      <c r="M37" s="44">
        <f>Данные!N128*IF(Данные!$D135="…",Данные!$C135,Данные!N135)</f>
        <v>400000</v>
      </c>
      <c r="N37" s="44">
        <f>Данные!O128*IF(Данные!$D135="…",Данные!$C135,Данные!O135)</f>
        <v>400000</v>
      </c>
    </row>
    <row r="38" spans="1:14" s="39" customFormat="1" ht="12.75" customHeight="1" outlineLevel="1">
      <c r="A38" s="37" t="str">
        <f>"    "&amp;Данные!A17</f>
        <v>    Продакт плэйсмент в шоу "Клетка"</v>
      </c>
      <c r="B38" s="52">
        <f>Данные!C129*Данные!C136</f>
        <v>0</v>
      </c>
      <c r="C38" s="44">
        <f>Данные!D129*IF(Данные!$D136="…",Данные!$C136,Данные!D136)</f>
        <v>0</v>
      </c>
      <c r="D38" s="44">
        <f>Данные!E129*IF(Данные!$D136="…",Данные!$C136,Данные!E136)</f>
        <v>50000</v>
      </c>
      <c r="E38" s="44">
        <f>Данные!F129*IF(Данные!$D136="…",Данные!$C136,Данные!F136)</f>
        <v>50000</v>
      </c>
      <c r="F38" s="44">
        <f>Данные!G129*IF(Данные!$D136="…",Данные!$C136,Данные!G136)</f>
        <v>100000</v>
      </c>
      <c r="G38" s="44">
        <f>Данные!H129*IF(Данные!$D136="…",Данные!$C136,Данные!H136)</f>
        <v>100000</v>
      </c>
      <c r="H38" s="44">
        <f>Данные!I129*IF(Данные!$D136="…",Данные!$C136,Данные!I136)</f>
        <v>100000</v>
      </c>
      <c r="I38" s="44">
        <f>Данные!J129*IF(Данные!$D136="…",Данные!$C136,Данные!H136)</f>
        <v>100000</v>
      </c>
      <c r="J38" s="44">
        <f>Данные!K129*IF(Данные!$D136="…",Данные!$C136,Данные!I136)</f>
        <v>100000</v>
      </c>
      <c r="K38" s="44">
        <f>Данные!L129*IF(Данные!$D136="…",Данные!$C136,Данные!J136)</f>
        <v>100000</v>
      </c>
      <c r="L38" s="44">
        <f>Данные!M129*IF(Данные!$D136="…",Данные!$C136,Данные!M136)</f>
        <v>100000</v>
      </c>
      <c r="M38" s="44">
        <f>Данные!N129*IF(Данные!$D136="…",Данные!$C136,Данные!N136)</f>
        <v>100000</v>
      </c>
      <c r="N38" s="44">
        <f>Данные!O129*IF(Данные!$D136="…",Данные!$C136,Данные!O136)</f>
        <v>100000</v>
      </c>
    </row>
    <row r="39" spans="1:14" s="39" customFormat="1" ht="12.75" customHeight="1" outlineLevel="1">
      <c r="A39" s="40" t="s">
        <v>400</v>
      </c>
      <c r="B39" s="45">
        <f ca="1">SUM(B34:OFFSET(B34,PRODUCTS_NUM-1,0))</f>
        <v>0</v>
      </c>
      <c r="C39" s="45">
        <f ca="1">SUM(C34:OFFSET(C34,PRODUCTS_NUM-1,0))</f>
        <v>0</v>
      </c>
      <c r="D39" s="45">
        <f ca="1">SUM(D34:OFFSET(D34,PRODUCTS_NUM-1,0))</f>
        <v>410000</v>
      </c>
      <c r="E39" s="45">
        <f ca="1">SUM(E34:OFFSET(E34,PRODUCTS_NUM-1,0))</f>
        <v>990000</v>
      </c>
      <c r="F39" s="45">
        <f ca="1">SUM(F34:OFFSET(F34,PRODUCTS_NUM-1,0))</f>
        <v>1660000</v>
      </c>
      <c r="G39" s="45">
        <f ca="1">SUM(G34:OFFSET(G34,PRODUCTS_NUM-1,0))</f>
        <v>2580000</v>
      </c>
      <c r="H39" s="45">
        <f ca="1">SUM(H34:OFFSET(H34,PRODUCTS_NUM-1,0))</f>
        <v>2880000</v>
      </c>
      <c r="I39" s="45">
        <f ca="1">SUM(I34:OFFSET(I34,PRODUCTS_NUM-1,0))</f>
        <v>2880000</v>
      </c>
      <c r="J39" s="45">
        <f ca="1">SUM(J34:OFFSET(J34,PRODUCTS_NUM-1,0))</f>
        <v>2280000</v>
      </c>
      <c r="K39" s="45">
        <f ca="1">SUM(K34:OFFSET(K34,PRODUCTS_NUM-1,0))</f>
        <v>2280000</v>
      </c>
      <c r="L39" s="45">
        <f ca="1">SUM(L34:OFFSET(L34,PRODUCTS_NUM-1,0))</f>
        <v>3480000</v>
      </c>
      <c r="M39" s="45">
        <f ca="1">SUM(M34:OFFSET(M34,PRODUCTS_NUM-1,0))</f>
        <v>4080000</v>
      </c>
      <c r="N39" s="45">
        <f ca="1">SUM(N34:OFFSET(N34,PRODUCTS_NUM-1,0))</f>
        <v>4080000</v>
      </c>
    </row>
    <row r="40" spans="1:14" s="53" customFormat="1" ht="12.75" customHeight="1" outlineLevel="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s="232" customFormat="1" ht="15.75" customHeight="1" outlineLevel="1">
      <c r="A41" s="233" t="s">
        <v>469</v>
      </c>
      <c r="B41" s="234" t="str">
        <f>Расчеты!B3</f>
        <v>11/2001</v>
      </c>
      <c r="C41" s="234" t="str">
        <f>Расчеты!C3</f>
        <v>12/2001</v>
      </c>
      <c r="D41" s="234" t="str">
        <f>Расчеты!D3</f>
        <v>1/2002</v>
      </c>
      <c r="E41" s="234" t="str">
        <f>Расчеты!E3</f>
        <v>2/2002</v>
      </c>
      <c r="F41" s="234" t="str">
        <f>Расчеты!F3</f>
        <v>3/2002</v>
      </c>
      <c r="G41" s="234" t="str">
        <f>Расчеты!G3</f>
        <v>4/2002</v>
      </c>
      <c r="H41" s="234" t="str">
        <f>Расчеты!H3</f>
        <v>5/2002</v>
      </c>
      <c r="I41" s="234" t="str">
        <f>Расчеты!I3</f>
        <v>6/2002</v>
      </c>
      <c r="J41" s="234" t="str">
        <f>Расчеты!J3</f>
        <v>7/2002</v>
      </c>
      <c r="K41" s="234" t="str">
        <f>Расчеты!K3</f>
        <v>8/2002</v>
      </c>
      <c r="L41" s="234" t="str">
        <f>Расчеты!L3</f>
        <v>9/2002</v>
      </c>
      <c r="M41" s="234" t="str">
        <f>Расчеты!M3</f>
        <v>10/2002</v>
      </c>
      <c r="N41" s="234" t="str">
        <f>Расчеты!N3</f>
        <v>11/2002</v>
      </c>
    </row>
    <row r="42" spans="1:14" s="39" customFormat="1" ht="12.75" customHeight="1" outlineLevel="1">
      <c r="A42" s="43" t="str">
        <f>"    "&amp;Данные!A13</f>
        <v>    Имиджевая реклама на канале INDARAP</v>
      </c>
      <c r="B42" s="44">
        <f>Данные!C139*Данные!C125</f>
        <v>0</v>
      </c>
      <c r="C42" s="44">
        <f>Данные!D125*IF(Данные!$D139="…",Данные!$C139,Данные!D139)</f>
        <v>0</v>
      </c>
      <c r="D42" s="44">
        <f>Данные!E125*IF(Данные!$D139="…",Данные!$C139,Данные!E139)</f>
        <v>0</v>
      </c>
      <c r="E42" s="44">
        <f>Данные!F125*IF(Данные!$D139="…",Данные!$C139,Данные!F139)</f>
        <v>0</v>
      </c>
      <c r="F42" s="44">
        <f>Данные!G125*IF(Данные!$D139="…",Данные!$C139,Данные!G139)</f>
        <v>0</v>
      </c>
      <c r="G42" s="44">
        <f>Данные!H125*IF(Данные!$D139="…",Данные!$C139,Данные!H139)</f>
        <v>0</v>
      </c>
      <c r="H42" s="44">
        <f>Данные!I125*IF(Данные!$D139="…",Данные!$C139,Данные!I139)</f>
        <v>0</v>
      </c>
      <c r="I42" s="44">
        <f>Данные!J125*IF(Данные!$D139="…",Данные!$C139,Данные!J139)</f>
        <v>0</v>
      </c>
      <c r="J42" s="44">
        <f>Данные!K125*IF(Данные!$D139="…",Данные!$C139,Данные!K139)</f>
        <v>0</v>
      </c>
      <c r="K42" s="44">
        <f>Данные!L125*IF(Данные!$D139="…",Данные!$C139,Данные!L139)</f>
        <v>0</v>
      </c>
      <c r="L42" s="44">
        <f>Данные!M125*IF(Данные!$D139="…",Данные!$C139,Данные!M139)</f>
        <v>0</v>
      </c>
      <c r="M42" s="44">
        <f>Данные!N125*IF(Данные!$D139="…",Данные!$C139,Данные!N139)</f>
        <v>0</v>
      </c>
      <c r="N42" s="44">
        <f>Данные!O125*IF(Данные!$D139="…",Данные!$C139,Данные!O139)</f>
        <v>0</v>
      </c>
    </row>
    <row r="43" spans="1:14" s="39" customFormat="1" ht="12.75" customHeight="1" outlineLevel="1">
      <c r="A43" s="37" t="str">
        <f>"    "&amp;Данные!A14</f>
        <v>    Платная регистрация на канале INDARAP "Клетка"</v>
      </c>
      <c r="B43" s="52">
        <f>Данные!C140*Данные!C126</f>
        <v>0</v>
      </c>
      <c r="C43" s="44">
        <f>Данные!D126*IF(Данные!$D140="…",Данные!$C140,Данные!D140)</f>
        <v>0</v>
      </c>
      <c r="D43" s="44">
        <f>Данные!E126*IF(Данные!$D140="…",Данные!$C140,Данные!E140)</f>
        <v>0</v>
      </c>
      <c r="E43" s="44">
        <f>Данные!F126*IF(Данные!$D140="…",Данные!$C140,Данные!F140)</f>
        <v>0</v>
      </c>
      <c r="F43" s="44">
        <f>Данные!G126*IF(Данные!$D140="…",Данные!$C140,Данные!G140)</f>
        <v>0</v>
      </c>
      <c r="G43" s="44">
        <f>Данные!H126*IF(Данные!$D140="…",Данные!$C140,Данные!H140)</f>
        <v>0</v>
      </c>
      <c r="H43" s="44">
        <f>Данные!I126*IF(Данные!$D140="…",Данные!$C140,Данные!I140)</f>
        <v>0</v>
      </c>
      <c r="I43" s="44">
        <f>Данные!J126*IF(Данные!$D140="…",Данные!$C140,Данные!I140)</f>
        <v>0</v>
      </c>
      <c r="J43" s="44">
        <f>Данные!K126*IF(Данные!$D140="…",Данные!$C140,Данные!J140)</f>
        <v>0</v>
      </c>
      <c r="K43" s="44">
        <f>Данные!L126*IF(Данные!$D140="…",Данные!$C140,Данные!K140)</f>
        <v>0</v>
      </c>
      <c r="L43" s="44">
        <f>Данные!M126*IF(Данные!$D140="…",Данные!$C140,Данные!L140)</f>
        <v>0</v>
      </c>
      <c r="M43" s="44">
        <f>Данные!N126*IF(Данные!$D140="…",Данные!$C140,Данные!M140)</f>
        <v>0</v>
      </c>
      <c r="N43" s="44">
        <f>Данные!O126*IF(Данные!$D140="…",Данные!$C140,Данные!N140)</f>
        <v>0</v>
      </c>
    </row>
    <row r="44" spans="1:14" s="39" customFormat="1" ht="12.75" customHeight="1" outlineLevel="1">
      <c r="A44" s="37" t="str">
        <f>"    "&amp;Данные!A15</f>
        <v>    СМС голосование за участников проекта "Клетка"</v>
      </c>
      <c r="B44" s="52">
        <f>Данные!C141*Данные!C127</f>
        <v>0</v>
      </c>
      <c r="C44" s="44">
        <f>Данные!D127*IF(Данные!$D141="…",Данные!$C141,Данные!D141)</f>
        <v>0</v>
      </c>
      <c r="D44" s="44">
        <f>Данные!E127*IF(Данные!$D141="…",Данные!$C141,Данные!E141)</f>
        <v>0</v>
      </c>
      <c r="E44" s="44">
        <f>Данные!F127*IF(Данные!$D141="…",Данные!$C141,Данные!F141)</f>
        <v>0</v>
      </c>
      <c r="F44" s="44">
        <f>Данные!G127*IF(Данные!$D141="…",Данные!$C141,Данные!G141)</f>
        <v>0</v>
      </c>
      <c r="G44" s="44">
        <f>Данные!H127*IF(Данные!$D141="…",Данные!$C141,Данные!H141)</f>
        <v>0</v>
      </c>
      <c r="H44" s="44">
        <f>Данные!I127*IF(Данные!$D141="…",Данные!$C141,Данные!I141)</f>
        <v>0</v>
      </c>
      <c r="I44" s="44">
        <f>Данные!J127*IF(Данные!$D141="…",Данные!$C141,Данные!H141)</f>
        <v>0</v>
      </c>
      <c r="J44" s="44">
        <f>Данные!K127*IF(Данные!$D141="…",Данные!$C141,Данные!I141)</f>
        <v>0</v>
      </c>
      <c r="K44" s="44">
        <f>Данные!L127*IF(Данные!$D141="…",Данные!$C141,Данные!J141)</f>
        <v>0</v>
      </c>
      <c r="L44" s="44">
        <f>Данные!M127*IF(Данные!$D141="…",Данные!$C141,Данные!K141)</f>
        <v>0</v>
      </c>
      <c r="M44" s="44">
        <f>Данные!N127*IF(Данные!$D141="…",Данные!$C141,Данные!L141)</f>
        <v>0</v>
      </c>
      <c r="N44" s="44">
        <f>Данные!O127*IF(Данные!$D141="…",Данные!$C141,Данные!M141)</f>
        <v>0</v>
      </c>
    </row>
    <row r="45" spans="1:14" s="39" customFormat="1" ht="12.75" customHeight="1" outlineLevel="1">
      <c r="A45" s="37" t="str">
        <f>"    "&amp;Данные!A16</f>
        <v>    Спецпроекты рекламодателей (концерты, шоу…)</v>
      </c>
      <c r="B45" s="52">
        <f>Данные!C142*Данные!C128</f>
        <v>0</v>
      </c>
      <c r="C45" s="44">
        <f>Данные!D128*IF(Данные!$D142="…",Данные!$C142,Данные!D142)</f>
        <v>0</v>
      </c>
      <c r="D45" s="44">
        <f>Данные!E128*IF(Данные!$D142="…",Данные!$C142,Данные!E142)</f>
        <v>0</v>
      </c>
      <c r="E45" s="44">
        <f>Данные!F128*IF(Данные!$D142="…",Данные!$C142,Данные!F142)</f>
        <v>0</v>
      </c>
      <c r="F45" s="44">
        <f>Данные!G128*IF(Данные!$D142="…",Данные!$C142,Данные!G142)</f>
        <v>0</v>
      </c>
      <c r="G45" s="44">
        <f>Данные!H128*IF(Данные!$D142="…",Данные!$C142,Данные!H142)</f>
        <v>0</v>
      </c>
      <c r="H45" s="44">
        <f>Данные!I128*IF(Данные!$D142="…",Данные!$C142,Данные!I142)</f>
        <v>0</v>
      </c>
      <c r="I45" s="44">
        <f>Данные!J128*IF(Данные!$D142="…",Данные!$C142,Данные!H142)</f>
        <v>0</v>
      </c>
      <c r="J45" s="44">
        <f>Данные!K128*IF(Данные!$D142="…",Данные!$C142,Данные!I142)</f>
        <v>0</v>
      </c>
      <c r="K45" s="44">
        <f>Данные!L128*IF(Данные!$D142="…",Данные!$C142,Данные!J142)</f>
        <v>0</v>
      </c>
      <c r="L45" s="44">
        <f>Данные!M128*IF(Данные!$D142="…",Данные!$C142,Данные!K142)</f>
        <v>0</v>
      </c>
      <c r="M45" s="44">
        <f>Данные!N128*IF(Данные!$D142="…",Данные!$C142,Данные!L142)</f>
        <v>0</v>
      </c>
      <c r="N45" s="44">
        <f>Данные!O128*IF(Данные!$D142="…",Данные!$C142,Данные!O142)</f>
        <v>0</v>
      </c>
    </row>
    <row r="46" spans="1:14" s="39" customFormat="1" ht="12.75" customHeight="1" outlineLevel="1">
      <c r="A46" s="37" t="str">
        <f>"    "&amp;Данные!A17</f>
        <v>    Продакт плэйсмент в шоу "Клетка"</v>
      </c>
      <c r="B46" s="52">
        <f>Данные!C143*Данные!C129</f>
        <v>0</v>
      </c>
      <c r="C46" s="44">
        <f>Данные!D129*IF(Данные!$D143="…",Данные!$C143,Данные!D143)</f>
        <v>0</v>
      </c>
      <c r="D46" s="44">
        <f>Данные!E129*IF(Данные!$D143="…",Данные!$C143,Данные!E143)</f>
        <v>0</v>
      </c>
      <c r="E46" s="44">
        <f>Данные!F129*IF(Данные!$D143="…",Данные!$C143,Данные!F143)</f>
        <v>0</v>
      </c>
      <c r="F46" s="44">
        <f>Данные!G129*IF(Данные!$D143="…",Данные!$C143,Данные!G143)</f>
        <v>0</v>
      </c>
      <c r="G46" s="44">
        <f>Данные!H129*IF(Данные!$D143="…",Данные!$C143,Данные!H143)</f>
        <v>0</v>
      </c>
      <c r="H46" s="44">
        <f>Данные!I129*IF(Данные!$D143="…",Данные!$C143,Данные!I143)</f>
        <v>0</v>
      </c>
      <c r="I46" s="44">
        <f>Данные!J129*IF(Данные!$D143="…",Данные!$C143,Данные!H143)</f>
        <v>0</v>
      </c>
      <c r="J46" s="44">
        <f>Данные!K129*IF(Данные!$D143="…",Данные!$C143,Данные!I143)</f>
        <v>0</v>
      </c>
      <c r="K46" s="44">
        <f>Данные!L129*IF(Данные!$D143="…",Данные!$C143,Данные!J143)</f>
        <v>0</v>
      </c>
      <c r="L46" s="44">
        <f>Данные!M129*IF(Данные!$D143="…",Данные!$C143,Данные!K143)</f>
        <v>0</v>
      </c>
      <c r="M46" s="44">
        <f>Данные!N129*IF(Данные!$D143="…",Данные!$C143,Данные!L143)</f>
        <v>0</v>
      </c>
      <c r="N46" s="44">
        <f>Данные!O129*IF(Данные!$D143="…",Данные!$C143,Данные!O143)</f>
        <v>0</v>
      </c>
    </row>
    <row r="47" spans="1:14" s="39" customFormat="1" ht="12.75" customHeight="1" outlineLevel="1">
      <c r="A47" s="40" t="s">
        <v>400</v>
      </c>
      <c r="B47" s="45">
        <f ca="1">SUM(B42:OFFSET(B42,PRODUCTS_NUM-1,0))</f>
        <v>0</v>
      </c>
      <c r="C47" s="45">
        <f ca="1">SUM(C42:OFFSET(C42,PRODUCTS_NUM-1,0))</f>
        <v>0</v>
      </c>
      <c r="D47" s="45">
        <f ca="1">SUM(D42:OFFSET(D42,PRODUCTS_NUM-1,0))</f>
        <v>0</v>
      </c>
      <c r="E47" s="45">
        <f ca="1">SUM(E42:OFFSET(E42,PRODUCTS_NUM-1,0))</f>
        <v>0</v>
      </c>
      <c r="F47" s="45">
        <f ca="1">SUM(F42:OFFSET(F42,PRODUCTS_NUM-1,0))</f>
        <v>0</v>
      </c>
      <c r="G47" s="45">
        <f ca="1">SUM(G42:OFFSET(G42,PRODUCTS_NUM-1,0))</f>
        <v>0</v>
      </c>
      <c r="H47" s="45">
        <f ca="1">SUM(H42:OFFSET(H42,PRODUCTS_NUM-1,0))</f>
        <v>0</v>
      </c>
      <c r="I47" s="45">
        <f ca="1">SUM(I42:OFFSET(I42,PRODUCTS_NUM-1,0))</f>
        <v>0</v>
      </c>
      <c r="J47" s="45">
        <f ca="1">SUM(J42:OFFSET(J42,PRODUCTS_NUM-1,0))</f>
        <v>0</v>
      </c>
      <c r="K47" s="45">
        <f ca="1">SUM(K42:OFFSET(K42,PRODUCTS_NUM-1,0))</f>
        <v>0</v>
      </c>
      <c r="L47" s="45">
        <f ca="1">SUM(L42:OFFSET(L42,PRODUCTS_NUM-1,0))</f>
        <v>0</v>
      </c>
      <c r="M47" s="45">
        <f ca="1">SUM(M42:OFFSET(M42,PRODUCTS_NUM-1,0))</f>
        <v>0</v>
      </c>
      <c r="N47" s="45">
        <f ca="1">SUM(N42:OFFSET(N42,PRODUCTS_NUM-1,0))</f>
        <v>0</v>
      </c>
    </row>
    <row r="48" spans="1:14" s="39" customFormat="1" ht="12.75" customHeight="1" outlineLevel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4" s="232" customFormat="1" ht="15.75" customHeight="1" outlineLevel="1">
      <c r="A49" s="233" t="s">
        <v>470</v>
      </c>
      <c r="B49" s="234" t="str">
        <f>Расчеты!B3</f>
        <v>11/2001</v>
      </c>
      <c r="C49" s="234" t="str">
        <f>Расчеты!C3</f>
        <v>12/2001</v>
      </c>
      <c r="D49" s="234" t="str">
        <f>Расчеты!D3</f>
        <v>1/2002</v>
      </c>
      <c r="E49" s="234" t="str">
        <f>Расчеты!E3</f>
        <v>2/2002</v>
      </c>
      <c r="F49" s="234" t="str">
        <f>Расчеты!F3</f>
        <v>3/2002</v>
      </c>
      <c r="G49" s="234" t="str">
        <f>Расчеты!G3</f>
        <v>4/2002</v>
      </c>
      <c r="H49" s="234" t="str">
        <f>Расчеты!H3</f>
        <v>5/2002</v>
      </c>
      <c r="I49" s="234" t="str">
        <f>Расчеты!I3</f>
        <v>6/2002</v>
      </c>
      <c r="J49" s="234" t="str">
        <f>Расчеты!J3</f>
        <v>7/2002</v>
      </c>
      <c r="K49" s="234" t="str">
        <f>Расчеты!K3</f>
        <v>8/2002</v>
      </c>
      <c r="L49" s="234" t="str">
        <f>Расчеты!L3</f>
        <v>9/2002</v>
      </c>
      <c r="M49" s="234" t="str">
        <f>Расчеты!M3</f>
        <v>10/2002</v>
      </c>
      <c r="N49" s="234" t="str">
        <f>Расчеты!N3</f>
        <v>11/2002</v>
      </c>
    </row>
    <row r="50" spans="1:14" s="36" customFormat="1" ht="10.5" outlineLevel="1">
      <c r="A50" s="48" t="str">
        <f>"    "&amp;Данные!A13</f>
        <v>    Имиджевая реклама на канале INDARAP</v>
      </c>
      <c r="B50" s="49">
        <f>Данные!C146*Данные!C125</f>
        <v>0</v>
      </c>
      <c r="C50" s="49">
        <f>Данные!D125*IF(Данные!$D146="…",Данные!$C146,Данные!D146)</f>
        <v>0</v>
      </c>
      <c r="D50" s="49">
        <f>Данные!E125*IF(Данные!$D146="…",Данные!$C146,Данные!E146)</f>
        <v>0</v>
      </c>
      <c r="E50" s="49">
        <f>Данные!F125*IF(Данные!$D146="…",Данные!$C146,Данные!F146)</f>
        <v>0</v>
      </c>
      <c r="F50" s="49">
        <f>Данные!G125*IF(Данные!$D146="…",Данные!$C146,Данные!G146)</f>
        <v>0</v>
      </c>
      <c r="G50" s="49">
        <f>Данные!H125*IF(Данные!$D146="…",Данные!$C146,Данные!H146)</f>
        <v>0</v>
      </c>
      <c r="H50" s="49">
        <f>Данные!I125*IF(Данные!$D146="…",Данные!$C146,Данные!I146)</f>
        <v>0</v>
      </c>
      <c r="I50" s="49">
        <f>Данные!J125*IF(Данные!$D146="…",Данные!$C146,Данные!J146)</f>
        <v>0</v>
      </c>
      <c r="J50" s="49">
        <f>Данные!K125*IF(Данные!$D146="…",Данные!$C146,Данные!K146)</f>
        <v>0</v>
      </c>
      <c r="K50" s="49">
        <f>Данные!L125*IF(Данные!$D146="…",Данные!$C146,Данные!L146)</f>
        <v>0</v>
      </c>
      <c r="L50" s="49">
        <f>Данные!M125*IF(Данные!$D146="…",Данные!$C146,Данные!M146)</f>
        <v>0</v>
      </c>
      <c r="M50" s="49">
        <f>Данные!N125*IF(Данные!$D146="…",Данные!$C146,Данные!N146)</f>
        <v>0</v>
      </c>
      <c r="N50" s="49">
        <f>Данные!O125*IF(Данные!$D146="…",Данные!$C146,Данные!O146)</f>
        <v>0</v>
      </c>
    </row>
    <row r="51" spans="1:14" s="36" customFormat="1" ht="10.5" outlineLevel="1">
      <c r="A51" s="54" t="str">
        <f>"    "&amp;Данные!A14</f>
        <v>    Платная регистрация на канале INDARAP "Клетка"</v>
      </c>
      <c r="B51" s="55">
        <f>Данные!C147*Данные!C126</f>
        <v>0</v>
      </c>
      <c r="C51" s="49">
        <f>Данные!D126*IF(Данные!$D147="…",Данные!$C147,Данные!D147)</f>
        <v>0</v>
      </c>
      <c r="D51" s="49">
        <f>Данные!E126*IF(Данные!$D147="…",Данные!$C147,Данные!E147)</f>
        <v>0</v>
      </c>
      <c r="E51" s="49">
        <f>Данные!F126*IF(Данные!$D147="…",Данные!$C147,Данные!F147)</f>
        <v>0</v>
      </c>
      <c r="F51" s="49">
        <f>Данные!G126*IF(Данные!$D147="…",Данные!$C147,Данные!G147)</f>
        <v>0</v>
      </c>
      <c r="G51" s="49">
        <f>Данные!H126*IF(Данные!$D147="…",Данные!$C147,Данные!H147)</f>
        <v>0</v>
      </c>
      <c r="H51" s="49">
        <f>Данные!I126*IF(Данные!$D147="…",Данные!$C147,Данные!I147)</f>
        <v>0</v>
      </c>
      <c r="I51" s="49">
        <f>Данные!J126*IF(Данные!$D147="…",Данные!$C147,Данные!J147)</f>
        <v>0</v>
      </c>
      <c r="J51" s="49">
        <f>Данные!K126*IF(Данные!$D147="…",Данные!$C147,Данные!K147)</f>
        <v>0</v>
      </c>
      <c r="K51" s="49">
        <f>Данные!L126*IF(Данные!$D147="…",Данные!$C147,Данные!L147)</f>
        <v>0</v>
      </c>
      <c r="L51" s="49">
        <f>Данные!M126*IF(Данные!$D147="…",Данные!$C147,Данные!M147)</f>
        <v>0</v>
      </c>
      <c r="M51" s="49">
        <f>Данные!N126*IF(Данные!$D147="…",Данные!$C147,Данные!N147)</f>
        <v>0</v>
      </c>
      <c r="N51" s="49">
        <f>Данные!O126*IF(Данные!$D147="…",Данные!$C147,Данные!O147)</f>
        <v>0</v>
      </c>
    </row>
    <row r="52" spans="1:14" s="36" customFormat="1" ht="10.5" outlineLevel="1">
      <c r="A52" s="54" t="str">
        <f>"    "&amp;Данные!A15</f>
        <v>    СМС голосование за участников проекта "Клетка"</v>
      </c>
      <c r="B52" s="55">
        <f>Данные!C148*Данные!C127</f>
        <v>0</v>
      </c>
      <c r="C52" s="49">
        <f>Данные!D127*IF(Данные!$D148="…",Данные!$C148,Данные!D148)</f>
        <v>0</v>
      </c>
      <c r="D52" s="49">
        <f>Данные!E127*IF(Данные!$D148="…",Данные!$C148,Данные!E148)</f>
        <v>0</v>
      </c>
      <c r="E52" s="49">
        <f>Данные!F127*IF(Данные!$D148="…",Данные!$C148,Данные!F148)</f>
        <v>0</v>
      </c>
      <c r="F52" s="49">
        <f>Данные!G127*IF(Данные!$D148="…",Данные!$C148,Данные!G148)</f>
        <v>0</v>
      </c>
      <c r="G52" s="49">
        <f>Данные!H127*IF(Данные!$D148="…",Данные!$C148,Данные!H148)</f>
        <v>0</v>
      </c>
      <c r="H52" s="49">
        <f>Данные!I127*IF(Данные!$D148="…",Данные!$C148,Данные!I148)</f>
        <v>0</v>
      </c>
      <c r="I52" s="49">
        <f>Данные!J127*IF(Данные!$D148="…",Данные!$C148,Данные!J148)</f>
        <v>0</v>
      </c>
      <c r="J52" s="49">
        <f>Данные!K127*IF(Данные!$D148="…",Данные!$C148,Данные!K148)</f>
        <v>0</v>
      </c>
      <c r="K52" s="49">
        <f>Данные!L127*IF(Данные!$D148="…",Данные!$C148,Данные!L148)</f>
        <v>0</v>
      </c>
      <c r="L52" s="49">
        <f>Данные!M127*IF(Данные!$D148="…",Данные!$C148,Данные!M148)</f>
        <v>0</v>
      </c>
      <c r="M52" s="49">
        <f>Данные!N127*IF(Данные!$D148="…",Данные!$C148,Данные!N148)</f>
        <v>0</v>
      </c>
      <c r="N52" s="49">
        <f>Данные!O127*IF(Данные!$D148="…",Данные!$C148,Данные!O148)</f>
        <v>0</v>
      </c>
    </row>
    <row r="53" spans="1:14" s="36" customFormat="1" ht="10.5" outlineLevel="1">
      <c r="A53" s="54" t="str">
        <f>"    "&amp;Данные!A16</f>
        <v>    Спецпроекты рекламодателей (концерты, шоу…)</v>
      </c>
      <c r="B53" s="55">
        <f>Данные!C149*Данные!C128</f>
        <v>0</v>
      </c>
      <c r="C53" s="49">
        <f>Данные!D128*IF(Данные!$D149="…",Данные!$C149,Данные!D149)</f>
        <v>0</v>
      </c>
      <c r="D53" s="49">
        <f>Данные!E128*IF(Данные!$D149="…",Данные!$C149,Данные!E149)</f>
        <v>0</v>
      </c>
      <c r="E53" s="49">
        <f>Данные!F128*IF(Данные!$D149="…",Данные!$C149,Данные!F149)</f>
        <v>0</v>
      </c>
      <c r="F53" s="49">
        <f>Данные!G128*IF(Данные!$D149="…",Данные!$C149,Данные!G149)</f>
        <v>0</v>
      </c>
      <c r="G53" s="49">
        <f>Данные!H128*IF(Данные!$D149="…",Данные!$C149,Данные!H149)</f>
        <v>0</v>
      </c>
      <c r="H53" s="49">
        <f>Данные!I128*IF(Данные!$D149="…",Данные!$C149,Данные!I149)</f>
        <v>0</v>
      </c>
      <c r="I53" s="49">
        <f>Данные!J128*IF(Данные!$D149="…",Данные!$C149,Данные!J149)</f>
        <v>0</v>
      </c>
      <c r="J53" s="49">
        <f>Данные!K128*IF(Данные!$D149="…",Данные!$C149,Данные!K149)</f>
        <v>0</v>
      </c>
      <c r="K53" s="49">
        <f>Данные!L128*IF(Данные!$D149="…",Данные!$C149,Данные!L149)</f>
        <v>0</v>
      </c>
      <c r="L53" s="49">
        <f>Данные!M128*IF(Данные!$D149="…",Данные!$C149,Данные!M149)</f>
        <v>0</v>
      </c>
      <c r="M53" s="49">
        <f>Данные!N128*IF(Данные!$D149="…",Данные!$C149,Данные!N149)</f>
        <v>0</v>
      </c>
      <c r="N53" s="49">
        <f>Данные!O128*IF(Данные!$D149="…",Данные!$C149,Данные!O149)</f>
        <v>0</v>
      </c>
    </row>
    <row r="54" spans="1:14" s="36" customFormat="1" ht="10.5" outlineLevel="1">
      <c r="A54" s="54" t="str">
        <f>"    "&amp;Данные!A17</f>
        <v>    Продакт плэйсмент в шоу "Клетка"</v>
      </c>
      <c r="B54" s="55">
        <f>Данные!C150*Данные!C129</f>
        <v>0</v>
      </c>
      <c r="C54" s="49">
        <f>Данные!D129*IF(Данные!$D150="…",Данные!$C150,Данные!D150)</f>
        <v>0</v>
      </c>
      <c r="D54" s="49">
        <f>Данные!E129*IF(Данные!$D150="…",Данные!$C150,Данные!E150)</f>
        <v>0</v>
      </c>
      <c r="E54" s="49">
        <f>Данные!F129*IF(Данные!$D150="…",Данные!$C150,Данные!F150)</f>
        <v>0</v>
      </c>
      <c r="F54" s="49">
        <f>Данные!G129*IF(Данные!$D150="…",Данные!$C150,Данные!G150)</f>
        <v>0</v>
      </c>
      <c r="G54" s="49">
        <f>Данные!H129*IF(Данные!$D150="…",Данные!$C150,Данные!H150)</f>
        <v>0</v>
      </c>
      <c r="H54" s="49">
        <f>Данные!I129*IF(Данные!$D150="…",Данные!$C150,Данные!I150)</f>
        <v>0</v>
      </c>
      <c r="I54" s="49">
        <f>Данные!J129*IF(Данные!$D150="…",Данные!$C150,Данные!J150)</f>
        <v>0</v>
      </c>
      <c r="J54" s="49">
        <f>Данные!K129*IF(Данные!$D150="…",Данные!$C150,Данные!K150)</f>
        <v>0</v>
      </c>
      <c r="K54" s="49">
        <f>Данные!L129*IF(Данные!$D150="…",Данные!$C150,Данные!L150)</f>
        <v>0</v>
      </c>
      <c r="L54" s="49">
        <f>Данные!M129*IF(Данные!$D150="…",Данные!$C150,Данные!M150)</f>
        <v>0</v>
      </c>
      <c r="M54" s="49">
        <f>Данные!N129*IF(Данные!$D150="…",Данные!$C150,Данные!N150)</f>
        <v>0</v>
      </c>
      <c r="N54" s="49">
        <f>Данные!O129*IF(Данные!$D150="…",Данные!$C150,Данные!O150)</f>
        <v>0</v>
      </c>
    </row>
    <row r="55" spans="1:14" ht="10.5" outlineLevel="1">
      <c r="A55" s="50" t="s">
        <v>400</v>
      </c>
      <c r="B55" s="45">
        <f ca="1">SUM(B50:OFFSET(B50,PRODUCTS_NUM-1,0))</f>
        <v>0</v>
      </c>
      <c r="C55" s="45">
        <f ca="1">SUM(C50:OFFSET(C50,PRODUCTS_NUM-1,0))</f>
        <v>0</v>
      </c>
      <c r="D55" s="45">
        <f ca="1">SUM(D50:OFFSET(D50,PRODUCTS_NUM-1,0))</f>
        <v>0</v>
      </c>
      <c r="E55" s="45">
        <f ca="1">SUM(E50:OFFSET(E50,PRODUCTS_NUM-1,0))</f>
        <v>0</v>
      </c>
      <c r="F55" s="45">
        <f ca="1">SUM(F50:OFFSET(F50,PRODUCTS_NUM-1,0))</f>
        <v>0</v>
      </c>
      <c r="G55" s="45">
        <f ca="1">SUM(G50:OFFSET(G50,PRODUCTS_NUM-1,0))</f>
        <v>0</v>
      </c>
      <c r="H55" s="45">
        <f ca="1">SUM(H50:OFFSET(H50,PRODUCTS_NUM-1,0))</f>
        <v>0</v>
      </c>
      <c r="I55" s="45">
        <f ca="1">SUM(I50:OFFSET(I50,PRODUCTS_NUM-1,0))</f>
        <v>0</v>
      </c>
      <c r="J55" s="45">
        <f ca="1">SUM(J50:OFFSET(J50,PRODUCTS_NUM-1,0))</f>
        <v>0</v>
      </c>
      <c r="K55" s="45">
        <f ca="1">SUM(K50:OFFSET(K50,PRODUCTS_NUM-1,0))</f>
        <v>0</v>
      </c>
      <c r="L55" s="45">
        <f ca="1">SUM(L50:OFFSET(L50,PRODUCTS_NUM-1,0))</f>
        <v>0</v>
      </c>
      <c r="M55" s="45">
        <f ca="1">SUM(M50:OFFSET(M50,PRODUCTS_NUM-1,0))</f>
        <v>0</v>
      </c>
      <c r="N55" s="45">
        <f ca="1">SUM(N50:OFFSET(N50,PRODUCTS_NUM-1,0))</f>
        <v>0</v>
      </c>
    </row>
    <row r="56" ht="12" outlineLevel="1" thickBot="1"/>
    <row r="57" spans="1:2" s="202" customFormat="1" ht="25.5" customHeight="1" outlineLevel="1" thickBot="1">
      <c r="A57" s="200" t="s">
        <v>471</v>
      </c>
      <c r="B57" s="201"/>
    </row>
    <row r="58" s="36" customFormat="1" ht="10.5" outlineLevel="1"/>
    <row r="59" spans="1:14" s="232" customFormat="1" ht="15.75" customHeight="1" outlineLevel="1">
      <c r="A59" s="233" t="s">
        <v>124</v>
      </c>
      <c r="B59" s="234" t="s">
        <v>472</v>
      </c>
      <c r="C59" s="234" t="s">
        <v>473</v>
      </c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</row>
    <row r="60" spans="1:14" s="39" customFormat="1" ht="12.75" customHeight="1" outlineLevel="1">
      <c r="A60" s="43" t="str">
        <f>"    "&amp;Данные!A13</f>
        <v>    Имиджевая реклама на канале INDARAP</v>
      </c>
      <c r="B60" s="44">
        <f ca="1">SUM(B34:OFFSET(B34,0,PRJ_DURATION-1))</f>
        <v>5670000</v>
      </c>
      <c r="C60" s="52">
        <f ca="1">SUM(B42:OFFSET(B42,0,PRJ_DURATION-1))+SUM(B50:OFFSET(B50,0,PRJ_DURATION-1))</f>
        <v>0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10.5" outlineLevel="1">
      <c r="A61" s="43" t="str">
        <f>"    "&amp;Данные!A14</f>
        <v>    Платная регистрация на канале INDARAP "Клетка"</v>
      </c>
      <c r="B61" s="44">
        <f ca="1">SUM(B35:OFFSET(B35,0,PRJ_DURATION-1))</f>
        <v>17110000</v>
      </c>
      <c r="C61" s="52">
        <f ca="1">SUM(B43:OFFSET(B43,0,PRJ_DURATION-1))+SUM(B51:OFFSET(B51,0,PRJ_DURATION-1))</f>
        <v>0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0.5" outlineLevel="1">
      <c r="A62" s="43" t="str">
        <f>"    "&amp;Данные!A15</f>
        <v>    СМС голосование за участников проекта "Клетка"</v>
      </c>
      <c r="B62" s="44">
        <f ca="1">SUM(B36:OFFSET(B36,0,PRJ_DURATION-1))</f>
        <v>440000</v>
      </c>
      <c r="C62" s="52">
        <f ca="1">SUM(B44:OFFSET(B44,0,PRJ_DURATION-1))+SUM(B52:OFFSET(B52,0,PRJ_DURATION-1))</f>
        <v>0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0.5" outlineLevel="1">
      <c r="A63" s="43" t="str">
        <f>"    "&amp;Данные!A16</f>
        <v>    Спецпроекты рекламодателей (концерты, шоу…)</v>
      </c>
      <c r="B63" s="44">
        <f ca="1">SUM(B37:OFFSET(B37,0,PRJ_DURATION-1))</f>
        <v>3380000</v>
      </c>
      <c r="C63" s="52">
        <f ca="1">SUM(B45:OFFSET(B45,0,PRJ_DURATION-1))+SUM(B53:OFFSET(B53,0,PRJ_DURATION-1))</f>
        <v>0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0.5" outlineLevel="1">
      <c r="A64" s="43" t="str">
        <f>"    "&amp;Данные!A17</f>
        <v>    Продакт плэйсмент в шоу "Клетка"</v>
      </c>
      <c r="B64" s="44">
        <f ca="1">SUM(B38:OFFSET(B38,0,PRJ_DURATION-1))</f>
        <v>1000000</v>
      </c>
      <c r="C64" s="52">
        <f ca="1">SUM(B46:OFFSET(B46,0,PRJ_DURATION-1))+SUM(B54:OFFSET(B54,0,PRJ_DURATION-1))</f>
        <v>0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10.5" outlineLevel="1">
      <c r="A65" s="40" t="s">
        <v>400</v>
      </c>
      <c r="B65" s="45">
        <f ca="1">SUM(B60:OFFSET(B60,PRODUCTS_NUM-1,0))</f>
        <v>27600000</v>
      </c>
      <c r="C65" s="45">
        <f ca="1">SUM(C60:OFFSET(C60,PRODUCTS_NUM-1,0))</f>
        <v>0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ht="10.5" outlineLevel="1"/>
    <row r="67" spans="1:14" s="232" customFormat="1" ht="15.75" customHeight="1" outlineLevel="1">
      <c r="A67" s="233" t="s">
        <v>123</v>
      </c>
      <c r="B67" s="234" t="s">
        <v>474</v>
      </c>
      <c r="C67" s="234" t="s">
        <v>475</v>
      </c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</row>
    <row r="68" spans="1:14" ht="10.5" outlineLevel="1">
      <c r="A68" s="43" t="str">
        <f>"    "&amp;Данные!A13</f>
        <v>    Имиджевая реклама на канале INDARAP</v>
      </c>
      <c r="B68" s="52">
        <f ca="1">SUM(B7:OFFSET(B7,0,PRJ_DURATION-1))</f>
        <v>21000</v>
      </c>
      <c r="C68" s="52">
        <f ca="1">SUM(Данные!C125:OFFSET(Данные!C125,0,PRJ_DURATION-1))</f>
        <v>21000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10.5" outlineLevel="1">
      <c r="A69" s="43" t="str">
        <f>"    "&amp;Данные!A14</f>
        <v>    Платная регистрация на канале INDARAP "Клетка"</v>
      </c>
      <c r="B69" s="52">
        <f ca="1">SUM(B8:OFFSET(B8,0,PRJ_DURATION-1))</f>
        <v>571000</v>
      </c>
      <c r="C69" s="52">
        <f ca="1">SUM(Данные!C126:OFFSET(Данные!C126,0,PRJ_DURATION-1))</f>
        <v>571000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ht="10.5" outlineLevel="1">
      <c r="A70" s="43" t="str">
        <f>"    "&amp;Данные!A15</f>
        <v>    СМС голосование за участников проекта "Клетка"</v>
      </c>
      <c r="B70" s="52">
        <f ca="1">SUM(B9:OFFSET(B9,0,PRJ_DURATION-1))</f>
        <v>55000</v>
      </c>
      <c r="C70" s="52">
        <f ca="1">SUM(Данные!C127:OFFSET(Данные!C127,0,PRJ_DURATION-1))</f>
        <v>55000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ht="10.5" outlineLevel="1">
      <c r="A71" s="43" t="str">
        <f>"    "&amp;Данные!A16</f>
        <v>    Спецпроекты рекламодателей (концерты, шоу…)</v>
      </c>
      <c r="B71" s="52">
        <f ca="1">SUM(B10:OFFSET(B10,0,PRJ_DURATION-1))</f>
        <v>41</v>
      </c>
      <c r="C71" s="52">
        <f ca="1">SUM(Данные!C128:OFFSET(Данные!C128,0,PRJ_DURATION-1))</f>
        <v>41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10.5" outlineLevel="1">
      <c r="A72" s="43" t="str">
        <f>"    "&amp;Данные!A17</f>
        <v>    Продакт плэйсмент в шоу "Клетка"</v>
      </c>
      <c r="B72" s="52">
        <f ca="1">SUM(B11:OFFSET(B11,0,PRJ_DURATION-1))</f>
        <v>55</v>
      </c>
      <c r="C72" s="52">
        <f ca="1">SUM(Данные!C129:OFFSET(Данные!C129,0,PRJ_DURATION-1))</f>
        <v>55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ht="10.5" outlineLevel="1"/>
  </sheetData>
  <sheetProtection/>
  <conditionalFormatting sqref="A12 A7:A10">
    <cfRule type="expression" priority="1" dxfId="0" stopIfTrue="1">
      <formula>IF((B68+0.1)&lt;C68,1,0)</formula>
    </cfRule>
  </conditionalFormatting>
  <conditionalFormatting sqref="A11">
    <cfRule type="expression" priority="5" dxfId="0" stopIfTrue="1">
      <formula>IF((B73+0.1)&lt;C73,1,0)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outlinePr summaryBelow="0"/>
  </sheetPr>
  <dimension ref="A1:N31"/>
  <sheetViews>
    <sheetView zoomScalePageLayoutView="0" workbookViewId="0" topLeftCell="A1">
      <selection activeCell="C39" sqref="C39"/>
    </sheetView>
  </sheetViews>
  <sheetFormatPr defaultColWidth="9.125" defaultRowHeight="12.75" customHeight="1"/>
  <cols>
    <col min="1" max="1" width="36.75390625" style="39" customWidth="1"/>
    <col min="2" max="14" width="10.75390625" style="39" customWidth="1"/>
    <col min="15" max="16384" width="9.125" style="39" customWidth="1"/>
  </cols>
  <sheetData>
    <row r="1" spans="1:14" s="205" customFormat="1" ht="25.5" customHeight="1" thickBot="1">
      <c r="A1" s="203" t="str">
        <f ca="1">OFFSET(LangBase!A2,0,CURLANGUAGE-1)</f>
        <v>ОТЧЕТ О ПРИБЫЛЯХ И УБЫТКАХ</v>
      </c>
      <c r="B1" s="204" t="str">
        <f>Данные!C124</f>
        <v>11/2001</v>
      </c>
      <c r="C1" s="204" t="str">
        <f>Данные!D124</f>
        <v>12/2001</v>
      </c>
      <c r="D1" s="204" t="str">
        <f>Данные!E124</f>
        <v>1/2002</v>
      </c>
      <c r="E1" s="204" t="str">
        <f>Данные!F124</f>
        <v>2/2002</v>
      </c>
      <c r="F1" s="204" t="str">
        <f>Данные!G124</f>
        <v>3/2002</v>
      </c>
      <c r="G1" s="204" t="str">
        <f>Данные!H124</f>
        <v>4/2002</v>
      </c>
      <c r="H1" s="204" t="str">
        <f>Данные!I124</f>
        <v>5/2002</v>
      </c>
      <c r="I1" s="204" t="str">
        <f>Данные!J124</f>
        <v>6/2002</v>
      </c>
      <c r="J1" s="204" t="str">
        <f>Данные!K124</f>
        <v>7/2002</v>
      </c>
      <c r="K1" s="204" t="str">
        <f>Данные!L124</f>
        <v>8/2002</v>
      </c>
      <c r="L1" s="204" t="str">
        <f>Данные!M124</f>
        <v>9/2002</v>
      </c>
      <c r="M1" s="204" t="str">
        <f>Данные!N124</f>
        <v>10/2002</v>
      </c>
      <c r="N1" s="204" t="str">
        <f>Данные!O124</f>
        <v>11/2002</v>
      </c>
    </row>
    <row r="2" spans="1:14" s="59" customFormat="1" ht="12.75" customHeight="1">
      <c r="A2" s="57" t="str">
        <f ca="1">OFFSET(LangBase!A3,0,CURLANGUAGE-1)</f>
        <v>Выручка (без НДС)</v>
      </c>
      <c r="B2" s="58">
        <f>Inside!E35</f>
        <v>0</v>
      </c>
      <c r="C2" s="58">
        <f>Inside!F35</f>
        <v>0</v>
      </c>
      <c r="D2" s="58">
        <f>Inside!G35</f>
        <v>410000</v>
      </c>
      <c r="E2" s="58">
        <f>Inside!H35</f>
        <v>990000</v>
      </c>
      <c r="F2" s="58">
        <f>Inside!I35</f>
        <v>1660000</v>
      </c>
      <c r="G2" s="58">
        <f>Inside!J35</f>
        <v>2580000</v>
      </c>
      <c r="H2" s="58">
        <f>Inside!K35</f>
        <v>2880000</v>
      </c>
      <c r="I2" s="58">
        <f>Inside!L35</f>
        <v>2880000</v>
      </c>
      <c r="J2" s="58">
        <f>Inside!M35</f>
        <v>2280000</v>
      </c>
      <c r="K2" s="58">
        <f>Inside!N35</f>
        <v>2280000</v>
      </c>
      <c r="L2" s="58">
        <f>Inside!O35</f>
        <v>3480000</v>
      </c>
      <c r="M2" s="58">
        <f>Inside!P35</f>
        <v>4080000</v>
      </c>
      <c r="N2" s="58">
        <f>Inside!Q35</f>
        <v>4080000</v>
      </c>
    </row>
    <row r="3" spans="1:14" s="59" customFormat="1" ht="12.75" customHeight="1">
      <c r="A3" s="60" t="str">
        <f ca="1">OFFSET(LangBase!A4,0,CURLANGUAGE-1)</f>
        <v>Себестоимость продукции</v>
      </c>
      <c r="B3" s="61">
        <f aca="true" t="shared" si="0" ref="B3:G3">SUM(B4,B5)</f>
        <v>0</v>
      </c>
      <c r="C3" s="61">
        <f t="shared" si="0"/>
        <v>0</v>
      </c>
      <c r="D3" s="61">
        <f t="shared" si="0"/>
        <v>0</v>
      </c>
      <c r="E3" s="61">
        <f t="shared" si="0"/>
        <v>0</v>
      </c>
      <c r="F3" s="61">
        <f t="shared" si="0"/>
        <v>0</v>
      </c>
      <c r="G3" s="61">
        <f t="shared" si="0"/>
        <v>0</v>
      </c>
      <c r="H3" s="61">
        <f aca="true" t="shared" si="1" ref="H3:N3">SUM(H4,H5)</f>
        <v>0</v>
      </c>
      <c r="I3" s="61">
        <f t="shared" si="1"/>
        <v>0</v>
      </c>
      <c r="J3" s="61">
        <f t="shared" si="1"/>
        <v>0</v>
      </c>
      <c r="K3" s="61">
        <f t="shared" si="1"/>
        <v>0</v>
      </c>
      <c r="L3" s="61">
        <f t="shared" si="1"/>
        <v>0</v>
      </c>
      <c r="M3" s="61">
        <f t="shared" si="1"/>
        <v>0</v>
      </c>
      <c r="N3" s="61">
        <f t="shared" si="1"/>
        <v>0</v>
      </c>
    </row>
    <row r="4" spans="1:14" ht="12.75" customHeight="1">
      <c r="A4" s="62" t="str">
        <f ca="1">OFFSET(LangBase!A5,0,CURLANGUAGE-1)</f>
        <v>    материалы, комплектующие, товары</v>
      </c>
      <c r="B4" s="52">
        <f>Inside!E79</f>
        <v>0</v>
      </c>
      <c r="C4" s="52">
        <f>Inside!F79</f>
        <v>0</v>
      </c>
      <c r="D4" s="52">
        <f>Inside!G79</f>
        <v>0</v>
      </c>
      <c r="E4" s="52">
        <f>Inside!H79</f>
        <v>0</v>
      </c>
      <c r="F4" s="52">
        <f>Inside!I79</f>
        <v>0</v>
      </c>
      <c r="G4" s="52">
        <f>Inside!J79</f>
        <v>0</v>
      </c>
      <c r="H4" s="52">
        <f>Inside!K79</f>
        <v>0</v>
      </c>
      <c r="I4" s="52">
        <f>Inside!L79</f>
        <v>0</v>
      </c>
      <c r="J4" s="52">
        <f>Inside!M79</f>
        <v>0</v>
      </c>
      <c r="K4" s="52">
        <f>Inside!N79</f>
        <v>0</v>
      </c>
      <c r="L4" s="52">
        <f>Inside!O79</f>
        <v>0</v>
      </c>
      <c r="M4" s="52">
        <f>Inside!P79</f>
        <v>0</v>
      </c>
      <c r="N4" s="52">
        <f>Inside!Q79</f>
        <v>0</v>
      </c>
    </row>
    <row r="5" spans="1:14" ht="12.75" customHeight="1">
      <c r="A5" s="62" t="str">
        <f ca="1">OFFSET(LangBase!A6,0,CURLANGUAGE-1)</f>
        <v>    сдельная оплата труда</v>
      </c>
      <c r="B5" s="52">
        <f>Производство!B55*(1+Данные!$B$32)</f>
        <v>0</v>
      </c>
      <c r="C5" s="52">
        <f>Производство!C55*(1+Данные!$B$32)</f>
        <v>0</v>
      </c>
      <c r="D5" s="52">
        <f>Производство!D55*(1+Данные!$B$32)</f>
        <v>0</v>
      </c>
      <c r="E5" s="52">
        <f>Производство!E55*(1+Данные!$B$32)</f>
        <v>0</v>
      </c>
      <c r="F5" s="52">
        <f>Производство!F55*(1+Данные!$B$32)</f>
        <v>0</v>
      </c>
      <c r="G5" s="52">
        <f>Производство!G55*(1+Данные!$B$32)</f>
        <v>0</v>
      </c>
      <c r="H5" s="52">
        <f>Производство!H55*(1+Данные!$B$32)</f>
        <v>0</v>
      </c>
      <c r="I5" s="52">
        <f>Производство!I55*(1+Данные!$B$32)</f>
        <v>0</v>
      </c>
      <c r="J5" s="52">
        <f>Производство!J55*(1+Данные!$B$32)</f>
        <v>0</v>
      </c>
      <c r="K5" s="52">
        <f>Производство!K55*(1+Данные!$B$32)</f>
        <v>0</v>
      </c>
      <c r="L5" s="52">
        <f>Производство!L55*(1+Данные!$B$32)</f>
        <v>0</v>
      </c>
      <c r="M5" s="52">
        <f>Производство!M55*(1+Данные!$B$32)</f>
        <v>0</v>
      </c>
      <c r="N5" s="52">
        <f>Производство!N55*(1+Данные!$B$32)</f>
        <v>0</v>
      </c>
    </row>
    <row r="6" spans="1:14" ht="12.75" customHeight="1">
      <c r="A6" s="63" t="str">
        <f ca="1">OFFSET(LangBase!A7,0,CURLANGUAGE-1)</f>
        <v>Налоги с продаж</v>
      </c>
      <c r="B6" s="52">
        <f>Данные!$B$31*Прибыль!B2</f>
        <v>0</v>
      </c>
      <c r="C6" s="52">
        <f>Данные!$B$31*Прибыль!C2</f>
        <v>0</v>
      </c>
      <c r="D6" s="52">
        <f>Данные!$B$31*Прибыль!D2</f>
        <v>0</v>
      </c>
      <c r="E6" s="52">
        <f>Данные!$B$31*Прибыль!E2</f>
        <v>0</v>
      </c>
      <c r="F6" s="52">
        <f>Данные!$B$31*Прибыль!F2</f>
        <v>0</v>
      </c>
      <c r="G6" s="52">
        <f>Данные!$B$31*Прибыль!G2</f>
        <v>0</v>
      </c>
      <c r="H6" s="52">
        <f>Данные!$B$31*Прибыль!H2</f>
        <v>0</v>
      </c>
      <c r="I6" s="52">
        <f>Данные!$B$31*Прибыль!I2</f>
        <v>0</v>
      </c>
      <c r="J6" s="52">
        <f>Данные!$B$31*Прибыль!J2</f>
        <v>0</v>
      </c>
      <c r="K6" s="52">
        <f>Данные!$B$31*Прибыль!K2</f>
        <v>0</v>
      </c>
      <c r="L6" s="52">
        <f>Данные!$B$31*Прибыль!L2</f>
        <v>0</v>
      </c>
      <c r="M6" s="52">
        <f>Данные!$B$31*Прибыль!M2</f>
        <v>0</v>
      </c>
      <c r="N6" s="52">
        <f>Данные!$B$31*Прибыль!N2</f>
        <v>0</v>
      </c>
    </row>
    <row r="7" spans="1:14" ht="12.75" customHeight="1">
      <c r="A7" s="206" t="str">
        <f ca="1">OFFSET(LangBase!A8,0,CURLANGUAGE-1)</f>
        <v>ВАЛОВАЯ ПРИБЫЛЬ</v>
      </c>
      <c r="B7" s="207">
        <f aca="true" t="shared" si="2" ref="B7:G7">B2-B3-B6</f>
        <v>0</v>
      </c>
      <c r="C7" s="207">
        <f t="shared" si="2"/>
        <v>0</v>
      </c>
      <c r="D7" s="207">
        <f t="shared" si="2"/>
        <v>410000</v>
      </c>
      <c r="E7" s="207">
        <f t="shared" si="2"/>
        <v>990000</v>
      </c>
      <c r="F7" s="207">
        <f t="shared" si="2"/>
        <v>1660000</v>
      </c>
      <c r="G7" s="207">
        <f t="shared" si="2"/>
        <v>2580000</v>
      </c>
      <c r="H7" s="207">
        <f aca="true" t="shared" si="3" ref="H7:N7">H2-H3-H6</f>
        <v>2880000</v>
      </c>
      <c r="I7" s="207">
        <f t="shared" si="3"/>
        <v>2880000</v>
      </c>
      <c r="J7" s="207">
        <f t="shared" si="3"/>
        <v>2280000</v>
      </c>
      <c r="K7" s="207">
        <f t="shared" si="3"/>
        <v>2280000</v>
      </c>
      <c r="L7" s="207">
        <f t="shared" si="3"/>
        <v>3480000</v>
      </c>
      <c r="M7" s="207">
        <f t="shared" si="3"/>
        <v>4080000</v>
      </c>
      <c r="N7" s="207">
        <f t="shared" si="3"/>
        <v>4080000</v>
      </c>
    </row>
    <row r="8" spans="1:14" s="59" customFormat="1" ht="12.75" customHeight="1">
      <c r="A8" s="64" t="str">
        <f ca="1">OFFSET(LangBase!A9,0,CURLANGUAGE-1)</f>
        <v>Налог на имущество</v>
      </c>
      <c r="B8" s="65">
        <f>Баланс!B7*Данные!$B$30/12*Расчеты!$B$7</f>
        <v>0</v>
      </c>
      <c r="C8" s="65">
        <f>Баланс!C7*Данные!$B$30/12*Расчеты!$B$7</f>
        <v>0</v>
      </c>
      <c r="D8" s="65">
        <f>Баланс!D7*Данные!$B$30/12*Расчеты!$B$7</f>
        <v>0</v>
      </c>
      <c r="E8" s="65">
        <f>Баланс!E7*Данные!$B$30/12*Расчеты!$B$7</f>
        <v>0</v>
      </c>
      <c r="F8" s="65">
        <f>Баланс!F7*Данные!$B$30/12*Расчеты!$B$7</f>
        <v>0</v>
      </c>
      <c r="G8" s="65">
        <f>Баланс!G7*Данные!$B$30/12*Расчеты!$B$7</f>
        <v>0</v>
      </c>
      <c r="H8" s="65">
        <f>Баланс!H7*Данные!$B$30/12*Расчеты!$B$7</f>
        <v>0</v>
      </c>
      <c r="I8" s="65">
        <f>Баланс!I7*Данные!$B$30/12*Расчеты!$B$7</f>
        <v>0</v>
      </c>
      <c r="J8" s="65">
        <f>Баланс!J7*Данные!$B$30/12*Расчеты!$B$7</f>
        <v>0</v>
      </c>
      <c r="K8" s="65">
        <f>Баланс!K7*Данные!$B$30/12*Расчеты!$B$7</f>
        <v>0</v>
      </c>
      <c r="L8" s="65">
        <f>Баланс!L7*Данные!$B$30/12*Расчеты!$B$7</f>
        <v>0</v>
      </c>
      <c r="M8" s="65">
        <f>Баланс!M7*Данные!$B$30/12*Расчеты!$B$7</f>
        <v>0</v>
      </c>
      <c r="N8" s="65">
        <f>Баланс!N7*Данные!$B$30/12*Расчеты!$B$7</f>
        <v>0</v>
      </c>
    </row>
    <row r="9" spans="1:14" s="67" customFormat="1" ht="12.75" customHeight="1">
      <c r="A9" s="66" t="str">
        <f ca="1">OFFSET(LangBase!A10,0,CURLANGUAGE-1)</f>
        <v>Зарплата</v>
      </c>
      <c r="B9" s="56">
        <f aca="true" t="shared" si="4" ref="B9:G9">SUM(B10:B13)</f>
        <v>0</v>
      </c>
      <c r="C9" s="56">
        <f t="shared" si="4"/>
        <v>0</v>
      </c>
      <c r="D9" s="56">
        <f t="shared" si="4"/>
        <v>525525</v>
      </c>
      <c r="E9" s="56">
        <f t="shared" si="4"/>
        <v>1153425</v>
      </c>
      <c r="F9" s="56">
        <f t="shared" si="4"/>
        <v>1153425</v>
      </c>
      <c r="G9" s="56">
        <f t="shared" si="4"/>
        <v>1153425</v>
      </c>
      <c r="H9" s="56">
        <f aca="true" t="shared" si="5" ref="H9:N9">SUM(H10:H13)</f>
        <v>1153425</v>
      </c>
      <c r="I9" s="56">
        <f t="shared" si="5"/>
        <v>1153425</v>
      </c>
      <c r="J9" s="56">
        <f t="shared" si="5"/>
        <v>1153425</v>
      </c>
      <c r="K9" s="56">
        <f t="shared" si="5"/>
        <v>1153425</v>
      </c>
      <c r="L9" s="56">
        <f t="shared" si="5"/>
        <v>1153425</v>
      </c>
      <c r="M9" s="56">
        <f t="shared" si="5"/>
        <v>1153425</v>
      </c>
      <c r="N9" s="56">
        <f t="shared" si="5"/>
        <v>1153425</v>
      </c>
    </row>
    <row r="10" spans="1:14" ht="12.75" customHeight="1">
      <c r="A10" s="62" t="str">
        <f ca="1">OFFSET(LangBase!A11,0,CURLANGUAGE-1)</f>
        <v>    производственный персонал</v>
      </c>
      <c r="B10" s="52">
        <f>Данные!C245</f>
        <v>0</v>
      </c>
      <c r="C10" s="52">
        <f>Данные!D245</f>
        <v>0</v>
      </c>
      <c r="D10" s="52">
        <f>Данные!E245</f>
        <v>0</v>
      </c>
      <c r="E10" s="52">
        <f>Данные!F245</f>
        <v>460000</v>
      </c>
      <c r="F10" s="52">
        <f>Данные!G245</f>
        <v>460000</v>
      </c>
      <c r="G10" s="52">
        <f>Данные!H245</f>
        <v>460000</v>
      </c>
      <c r="H10" s="52">
        <f>Данные!I245</f>
        <v>460000</v>
      </c>
      <c r="I10" s="52">
        <f>Данные!J245</f>
        <v>460000</v>
      </c>
      <c r="J10" s="52">
        <f>Данные!K245</f>
        <v>460000</v>
      </c>
      <c r="K10" s="52">
        <f>Данные!L245</f>
        <v>460000</v>
      </c>
      <c r="L10" s="52">
        <f>Данные!M245</f>
        <v>460000</v>
      </c>
      <c r="M10" s="52">
        <f>Данные!N245</f>
        <v>460000</v>
      </c>
      <c r="N10" s="52">
        <f>Данные!O245</f>
        <v>460000</v>
      </c>
    </row>
    <row r="11" spans="1:14" ht="12.75" customHeight="1">
      <c r="A11" s="62" t="str">
        <f ca="1">OFFSET(LangBase!A12,0,CURLANGUAGE-1)</f>
        <v>    административный персонал</v>
      </c>
      <c r="B11" s="52">
        <f>Данные!C246</f>
        <v>0</v>
      </c>
      <c r="C11" s="52">
        <f>Данные!D246</f>
        <v>0</v>
      </c>
      <c r="D11" s="52">
        <f>Данные!E246</f>
        <v>335000</v>
      </c>
      <c r="E11" s="52">
        <f>Данные!F246</f>
        <v>335000</v>
      </c>
      <c r="F11" s="52">
        <f>Данные!G246</f>
        <v>335000</v>
      </c>
      <c r="G11" s="52">
        <f>Данные!H246</f>
        <v>335000</v>
      </c>
      <c r="H11" s="52">
        <f>Данные!I246</f>
        <v>335000</v>
      </c>
      <c r="I11" s="52">
        <f>Данные!J246</f>
        <v>335000</v>
      </c>
      <c r="J11" s="52">
        <f>Данные!K246</f>
        <v>335000</v>
      </c>
      <c r="K11" s="52">
        <f>Данные!L246</f>
        <v>335000</v>
      </c>
      <c r="L11" s="52">
        <f>Данные!M246</f>
        <v>335000</v>
      </c>
      <c r="M11" s="52">
        <f>Данные!N246</f>
        <v>335000</v>
      </c>
      <c r="N11" s="52">
        <f>Данные!O246</f>
        <v>335000</v>
      </c>
    </row>
    <row r="12" spans="1:14" ht="12.75" customHeight="1">
      <c r="A12" s="62" t="str">
        <f ca="1">OFFSET(LangBase!A13,0,CURLANGUAGE-1)</f>
        <v>    маркетинговый персонал</v>
      </c>
      <c r="B12" s="52">
        <f>Данные!C247</f>
        <v>0</v>
      </c>
      <c r="C12" s="52">
        <f>Данные!D247</f>
        <v>0</v>
      </c>
      <c r="D12" s="52">
        <f>Данные!E247</f>
        <v>50000</v>
      </c>
      <c r="E12" s="52">
        <f>Данные!F247</f>
        <v>50000</v>
      </c>
      <c r="F12" s="52">
        <f>Данные!G247</f>
        <v>50000</v>
      </c>
      <c r="G12" s="52">
        <f>Данные!H247</f>
        <v>50000</v>
      </c>
      <c r="H12" s="52">
        <f>Данные!I247</f>
        <v>50000</v>
      </c>
      <c r="I12" s="52">
        <f>Данные!J247</f>
        <v>50000</v>
      </c>
      <c r="J12" s="52">
        <f>Данные!K247</f>
        <v>50000</v>
      </c>
      <c r="K12" s="52">
        <f>Данные!L247</f>
        <v>50000</v>
      </c>
      <c r="L12" s="52">
        <f>Данные!M247</f>
        <v>50000</v>
      </c>
      <c r="M12" s="52">
        <f>Данные!N247</f>
        <v>50000</v>
      </c>
      <c r="N12" s="52">
        <f>Данные!O247</f>
        <v>50000</v>
      </c>
    </row>
    <row r="13" spans="1:14" ht="12.75" customHeight="1">
      <c r="A13" s="62" t="str">
        <f ca="1">OFFSET(LangBase!A14,0,CURLANGUAGE-1)</f>
        <v>    соц. начисления</v>
      </c>
      <c r="B13" s="65">
        <f>Данные!$B$32*(B10+B11+B12)</f>
        <v>0</v>
      </c>
      <c r="C13" s="65">
        <f>Данные!$B$32*(C10+C11+C12)</f>
        <v>0</v>
      </c>
      <c r="D13" s="65">
        <f>Данные!$B$32*(D10+D11+D12)</f>
        <v>140525</v>
      </c>
      <c r="E13" s="65">
        <f>Данные!$B$32*(E10+E11+E12)</f>
        <v>308425</v>
      </c>
      <c r="F13" s="65">
        <f>Данные!$B$32*(F10+F11+F12)</f>
        <v>308425</v>
      </c>
      <c r="G13" s="65">
        <f>Данные!$B$32*(G10+G11+G12)</f>
        <v>308425</v>
      </c>
      <c r="H13" s="65">
        <f>Данные!$B$32*(H10+H11+H12)</f>
        <v>308425</v>
      </c>
      <c r="I13" s="65">
        <f>Данные!$B$32*(I10+I11+I12)</f>
        <v>308425</v>
      </c>
      <c r="J13" s="65">
        <f>Данные!$B$32*(J10+J11+J12)</f>
        <v>308425</v>
      </c>
      <c r="K13" s="65">
        <f>Данные!$B$32*(K10+K11+K12)</f>
        <v>308425</v>
      </c>
      <c r="L13" s="65">
        <f>Данные!$B$32*(L10+L11+L12)</f>
        <v>308425</v>
      </c>
      <c r="M13" s="65">
        <f>Данные!$B$32*(M10+M11+M12)</f>
        <v>308425</v>
      </c>
      <c r="N13" s="65">
        <f>Данные!$B$32*(N10+N11+N12)</f>
        <v>308425</v>
      </c>
    </row>
    <row r="14" spans="1:14" s="67" customFormat="1" ht="12.75" customHeight="1">
      <c r="A14" s="66" t="str">
        <f ca="1">OFFSET(LangBase!A15,0,CURLANGUAGE-1)</f>
        <v>Общие издержки:</v>
      </c>
      <c r="B14" s="56">
        <f aca="true" t="shared" si="6" ref="B14:G14">SUM(B15:B18)</f>
        <v>118000</v>
      </c>
      <c r="C14" s="56">
        <f t="shared" si="6"/>
        <v>1595000</v>
      </c>
      <c r="D14" s="56">
        <f t="shared" si="6"/>
        <v>1265000</v>
      </c>
      <c r="E14" s="56">
        <f t="shared" si="6"/>
        <v>645000</v>
      </c>
      <c r="F14" s="56">
        <f t="shared" si="6"/>
        <v>695000</v>
      </c>
      <c r="G14" s="56">
        <f t="shared" si="6"/>
        <v>595000</v>
      </c>
      <c r="H14" s="56">
        <f aca="true" t="shared" si="7" ref="H14:N14">SUM(H15:H18)</f>
        <v>895000</v>
      </c>
      <c r="I14" s="56">
        <f t="shared" si="7"/>
        <v>375000</v>
      </c>
      <c r="J14" s="56">
        <f t="shared" si="7"/>
        <v>375000</v>
      </c>
      <c r="K14" s="56">
        <f t="shared" si="7"/>
        <v>375000</v>
      </c>
      <c r="L14" s="56">
        <f t="shared" si="7"/>
        <v>495000</v>
      </c>
      <c r="M14" s="56">
        <f t="shared" si="7"/>
        <v>495000</v>
      </c>
      <c r="N14" s="56">
        <f t="shared" si="7"/>
        <v>495000</v>
      </c>
    </row>
    <row r="15" spans="1:14" ht="12.75" customHeight="1">
      <c r="A15" s="68" t="str">
        <f ca="1">OFFSET(LangBase!A16,0,CURLANGUAGE-1)</f>
        <v>    производственные издержки</v>
      </c>
      <c r="B15" s="52">
        <f>Inside!E275</f>
        <v>18000</v>
      </c>
      <c r="C15" s="52">
        <f>Inside!F275</f>
        <v>1045000</v>
      </c>
      <c r="D15" s="52">
        <f>Inside!G275</f>
        <v>425000</v>
      </c>
      <c r="E15" s="52">
        <f>Inside!H275</f>
        <v>325000</v>
      </c>
      <c r="F15" s="52">
        <f>Inside!I275</f>
        <v>275000</v>
      </c>
      <c r="G15" s="52">
        <f>Inside!J275</f>
        <v>275000</v>
      </c>
      <c r="H15" s="52">
        <f>Inside!K275</f>
        <v>275000</v>
      </c>
      <c r="I15" s="52">
        <f>Inside!L275</f>
        <v>275000</v>
      </c>
      <c r="J15" s="52">
        <f>Inside!M275</f>
        <v>275000</v>
      </c>
      <c r="K15" s="52">
        <f>Inside!N275</f>
        <v>275000</v>
      </c>
      <c r="L15" s="52">
        <f>Inside!O275</f>
        <v>275000</v>
      </c>
      <c r="M15" s="52">
        <f>Inside!P275</f>
        <v>275000</v>
      </c>
      <c r="N15" s="52">
        <f>Inside!Q275</f>
        <v>275000</v>
      </c>
    </row>
    <row r="16" spans="1:14" ht="12.75" customHeight="1">
      <c r="A16" s="68" t="str">
        <f ca="1">OFFSET(LangBase!A17,0,CURLANGUAGE-1)</f>
        <v>    административные и офисные издержки</v>
      </c>
      <c r="B16" s="52">
        <f>Inside!E285</f>
        <v>0</v>
      </c>
      <c r="C16" s="52">
        <f>Inside!F285</f>
        <v>0</v>
      </c>
      <c r="D16" s="52">
        <f>Inside!G285</f>
        <v>10000</v>
      </c>
      <c r="E16" s="52">
        <f>Inside!H285</f>
        <v>10000</v>
      </c>
      <c r="F16" s="52">
        <f>Inside!I285</f>
        <v>10000</v>
      </c>
      <c r="G16" s="52">
        <f>Inside!J285</f>
        <v>10000</v>
      </c>
      <c r="H16" s="52">
        <f>Inside!K285</f>
        <v>10000</v>
      </c>
      <c r="I16" s="52">
        <f>Inside!L285</f>
        <v>10000</v>
      </c>
      <c r="J16" s="52">
        <f>Inside!M285</f>
        <v>10000</v>
      </c>
      <c r="K16" s="52">
        <f>Inside!N285</f>
        <v>10000</v>
      </c>
      <c r="L16" s="52">
        <f>Inside!O285</f>
        <v>10000</v>
      </c>
      <c r="M16" s="52">
        <f>Inside!P285</f>
        <v>10000</v>
      </c>
      <c r="N16" s="52">
        <f>Inside!Q285</f>
        <v>10000</v>
      </c>
    </row>
    <row r="17" spans="1:14" ht="12.75" customHeight="1">
      <c r="A17" s="68" t="str">
        <f ca="1">OFFSET(LangBase!A18,0,CURLANGUAGE-1)</f>
        <v>    маркетинговые издержки</v>
      </c>
      <c r="B17" s="52">
        <f>Inside!E299</f>
        <v>100000</v>
      </c>
      <c r="C17" s="52">
        <f>Inside!F299</f>
        <v>550000</v>
      </c>
      <c r="D17" s="52">
        <f>Inside!G299</f>
        <v>830000</v>
      </c>
      <c r="E17" s="52">
        <f>Inside!H299</f>
        <v>310000</v>
      </c>
      <c r="F17" s="52">
        <f>Inside!I299</f>
        <v>410000</v>
      </c>
      <c r="G17" s="52">
        <f>Inside!J299</f>
        <v>310000</v>
      </c>
      <c r="H17" s="52">
        <f>Inside!K299</f>
        <v>610000</v>
      </c>
      <c r="I17" s="52">
        <f>Inside!L299</f>
        <v>90000</v>
      </c>
      <c r="J17" s="52">
        <f>Inside!M299</f>
        <v>90000</v>
      </c>
      <c r="K17" s="52">
        <f>Inside!N299</f>
        <v>90000</v>
      </c>
      <c r="L17" s="52">
        <f>Inside!O299</f>
        <v>210000</v>
      </c>
      <c r="M17" s="52">
        <f>Inside!P299</f>
        <v>210000</v>
      </c>
      <c r="N17" s="52">
        <f>Inside!Q299</f>
        <v>210000</v>
      </c>
    </row>
    <row r="18" spans="1:14" ht="12.75" customHeight="1">
      <c r="A18" s="68" t="str">
        <f ca="1">OFFSET(LangBase!A19,0,CURLANGUAGE-1)</f>
        <v>    прочие расходы</v>
      </c>
      <c r="B18" s="52">
        <f>Данные!C196/(1+VAT)</f>
        <v>0</v>
      </c>
      <c r="C18" s="52">
        <f>Данные!D196/(1+VAT)</f>
        <v>0</v>
      </c>
      <c r="D18" s="52">
        <f>Данные!E196/(1+VAT)</f>
        <v>0</v>
      </c>
      <c r="E18" s="52">
        <f>Данные!F196/(1+VAT)</f>
        <v>0</v>
      </c>
      <c r="F18" s="52">
        <f>Данные!G196/(1+VAT)</f>
        <v>0</v>
      </c>
      <c r="G18" s="52">
        <f>Данные!H196/(1+VAT)</f>
        <v>0</v>
      </c>
      <c r="H18" s="52">
        <f>Данные!I196/(1+VAT)</f>
        <v>0</v>
      </c>
      <c r="I18" s="52">
        <f>Данные!J196/(1+VAT)</f>
        <v>0</v>
      </c>
      <c r="J18" s="52">
        <f>Данные!K196/(1+VAT)</f>
        <v>0</v>
      </c>
      <c r="K18" s="52">
        <f>Данные!L196/(1+VAT)</f>
        <v>0</v>
      </c>
      <c r="L18" s="52">
        <f>Данные!M196/(1+VAT)</f>
        <v>0</v>
      </c>
      <c r="M18" s="52">
        <f>Данные!N196/(1+VAT)</f>
        <v>0</v>
      </c>
      <c r="N18" s="52">
        <f>Данные!O196/(1+VAT)</f>
        <v>0</v>
      </c>
    </row>
    <row r="19" spans="1:14" ht="12.75" customHeight="1">
      <c r="A19" s="206" t="str">
        <f ca="1">OFFSET(LangBase!A20,0,CURLANGUAGE-1)</f>
        <v>ОПЕРАЦИОННАЯ ПРИБЫЛЬ</v>
      </c>
      <c r="B19" s="207">
        <f aca="true" t="shared" si="8" ref="B19:G19">B7-B8-B9-B14</f>
        <v>-118000</v>
      </c>
      <c r="C19" s="207">
        <f t="shared" si="8"/>
        <v>-1595000</v>
      </c>
      <c r="D19" s="207">
        <f t="shared" si="8"/>
        <v>-1380525</v>
      </c>
      <c r="E19" s="207">
        <f t="shared" si="8"/>
        <v>-808425</v>
      </c>
      <c r="F19" s="207">
        <f t="shared" si="8"/>
        <v>-188425</v>
      </c>
      <c r="G19" s="207">
        <f t="shared" si="8"/>
        <v>831575</v>
      </c>
      <c r="H19" s="207">
        <f aca="true" t="shared" si="9" ref="H19:N19">H7-H8-H9-H14</f>
        <v>831575</v>
      </c>
      <c r="I19" s="207">
        <f t="shared" si="9"/>
        <v>1351575</v>
      </c>
      <c r="J19" s="207">
        <f t="shared" si="9"/>
        <v>751575</v>
      </c>
      <c r="K19" s="207">
        <f t="shared" si="9"/>
        <v>751575</v>
      </c>
      <c r="L19" s="207">
        <f t="shared" si="9"/>
        <v>1831575</v>
      </c>
      <c r="M19" s="207">
        <f t="shared" si="9"/>
        <v>2431575</v>
      </c>
      <c r="N19" s="207">
        <f t="shared" si="9"/>
        <v>2431575</v>
      </c>
    </row>
    <row r="20" spans="1:14" ht="12.75" customHeight="1">
      <c r="A20" s="62" t="str">
        <f ca="1">OFFSET(LangBase!A21,0,CURLANGUAGE-1)</f>
        <v>Амортизация</v>
      </c>
      <c r="B20" s="52">
        <f aca="true" t="shared" si="10" ref="B20:G20">SUM(B21:B25)</f>
        <v>0</v>
      </c>
      <c r="C20" s="52">
        <f t="shared" si="10"/>
        <v>0</v>
      </c>
      <c r="D20" s="52">
        <f t="shared" si="10"/>
        <v>7499.833333333334</v>
      </c>
      <c r="E20" s="52">
        <f t="shared" si="10"/>
        <v>7499.833333333334</v>
      </c>
      <c r="F20" s="52">
        <f t="shared" si="10"/>
        <v>7499.833333333334</v>
      </c>
      <c r="G20" s="52">
        <f t="shared" si="10"/>
        <v>7499.833333333334</v>
      </c>
      <c r="H20" s="52">
        <f aca="true" t="shared" si="11" ref="H20:N20">SUM(H21:H25)</f>
        <v>7499.833333333334</v>
      </c>
      <c r="I20" s="52">
        <f t="shared" si="11"/>
        <v>7499.833333333334</v>
      </c>
      <c r="J20" s="52">
        <f t="shared" si="11"/>
        <v>7499.833333333334</v>
      </c>
      <c r="K20" s="52">
        <f t="shared" si="11"/>
        <v>7499.833333333334</v>
      </c>
      <c r="L20" s="52">
        <f t="shared" si="11"/>
        <v>7499.833333333334</v>
      </c>
      <c r="M20" s="52">
        <f t="shared" si="11"/>
        <v>7499.833333333334</v>
      </c>
      <c r="N20" s="52">
        <f t="shared" si="11"/>
        <v>7499.833333333334</v>
      </c>
    </row>
    <row r="21" spans="1:14" ht="12.75" customHeight="1">
      <c r="A21" s="62" t="str">
        <f ca="1">OFFSET(LangBase!A22,0,CURLANGUAGE-1)</f>
        <v>    здания  и сооружения</v>
      </c>
      <c r="B21" s="52">
        <f>Inside!E187</f>
        <v>0</v>
      </c>
      <c r="C21" s="52">
        <f>Inside!F187</f>
        <v>0</v>
      </c>
      <c r="D21" s="52">
        <f>Inside!G187</f>
        <v>0</v>
      </c>
      <c r="E21" s="52">
        <f>Inside!H187</f>
        <v>0</v>
      </c>
      <c r="F21" s="52">
        <f>Inside!I187</f>
        <v>0</v>
      </c>
      <c r="G21" s="52">
        <f>Inside!J187</f>
        <v>0</v>
      </c>
      <c r="H21" s="52">
        <f>Inside!K187</f>
        <v>0</v>
      </c>
      <c r="I21" s="52">
        <f>Inside!L187</f>
        <v>0</v>
      </c>
      <c r="J21" s="52">
        <f>Inside!M187</f>
        <v>0</v>
      </c>
      <c r="K21" s="52">
        <f>Inside!N187</f>
        <v>0</v>
      </c>
      <c r="L21" s="52">
        <f>Inside!O187</f>
        <v>0</v>
      </c>
      <c r="M21" s="52">
        <f>Inside!P187</f>
        <v>0</v>
      </c>
      <c r="N21" s="52">
        <f>Inside!Q187</f>
        <v>0</v>
      </c>
    </row>
    <row r="22" spans="1:14" ht="12.75" customHeight="1">
      <c r="A22" s="62" t="str">
        <f ca="1">OFFSET(LangBase!A23,0,CURLANGUAGE-1)</f>
        <v>    оборудование</v>
      </c>
      <c r="B22" s="52">
        <f>Inside!E193</f>
        <v>0</v>
      </c>
      <c r="C22" s="52">
        <f>Inside!F193</f>
        <v>0</v>
      </c>
      <c r="D22" s="52">
        <f>Inside!G193</f>
        <v>1666.6666666666667</v>
      </c>
      <c r="E22" s="52">
        <f>Inside!H193</f>
        <v>1666.6666666666667</v>
      </c>
      <c r="F22" s="52">
        <f>Inside!I193</f>
        <v>1666.6666666666667</v>
      </c>
      <c r="G22" s="52">
        <f>Inside!J193</f>
        <v>1666.6666666666667</v>
      </c>
      <c r="H22" s="52">
        <f>Inside!K193</f>
        <v>1666.6666666666667</v>
      </c>
      <c r="I22" s="52">
        <f>Inside!L193</f>
        <v>1666.6666666666667</v>
      </c>
      <c r="J22" s="52">
        <f>Inside!M193</f>
        <v>1666.6666666666667</v>
      </c>
      <c r="K22" s="52">
        <f>Inside!N193</f>
        <v>1666.6666666666667</v>
      </c>
      <c r="L22" s="52">
        <f>Inside!O193</f>
        <v>1666.6666666666667</v>
      </c>
      <c r="M22" s="52">
        <f>Inside!P193</f>
        <v>1666.6666666666667</v>
      </c>
      <c r="N22" s="52">
        <f>Inside!Q193</f>
        <v>1666.6666666666667</v>
      </c>
    </row>
    <row r="23" spans="1:14" ht="12.75" customHeight="1">
      <c r="A23" s="62" t="str">
        <f ca="1">OFFSET(LangBase!A24,0,CURLANGUAGE-1)</f>
        <v>    транспортные средства</v>
      </c>
      <c r="B23" s="52">
        <f>Inside!E197</f>
        <v>0</v>
      </c>
      <c r="C23" s="52">
        <f>Inside!F197</f>
        <v>0</v>
      </c>
      <c r="D23" s="52">
        <f>Inside!G197</f>
        <v>0</v>
      </c>
      <c r="E23" s="52">
        <f>Inside!H197</f>
        <v>0</v>
      </c>
      <c r="F23" s="52">
        <f>Inside!I197</f>
        <v>0</v>
      </c>
      <c r="G23" s="52">
        <f>Inside!J197</f>
        <v>0</v>
      </c>
      <c r="H23" s="52">
        <f>Inside!K197</f>
        <v>0</v>
      </c>
      <c r="I23" s="52">
        <f>Inside!L197</f>
        <v>0</v>
      </c>
      <c r="J23" s="52">
        <f>Inside!M197</f>
        <v>0</v>
      </c>
      <c r="K23" s="52">
        <f>Inside!N197</f>
        <v>0</v>
      </c>
      <c r="L23" s="52">
        <f>Inside!O197</f>
        <v>0</v>
      </c>
      <c r="M23" s="52">
        <f>Inside!P197</f>
        <v>0</v>
      </c>
      <c r="N23" s="52">
        <f>Inside!Q197</f>
        <v>0</v>
      </c>
    </row>
    <row r="24" spans="1:14" ht="12.75" customHeight="1">
      <c r="A24" s="62" t="str">
        <f ca="1">OFFSET(LangBase!A25,0,CURLANGUAGE-1)</f>
        <v>    оргтехника</v>
      </c>
      <c r="B24" s="52">
        <f>Inside!E204</f>
        <v>0</v>
      </c>
      <c r="C24" s="52">
        <f>Inside!F204</f>
        <v>0</v>
      </c>
      <c r="D24" s="52">
        <f>Inside!G204</f>
        <v>1666.4999999999998</v>
      </c>
      <c r="E24" s="52">
        <f>Inside!H204</f>
        <v>1666.4999999999998</v>
      </c>
      <c r="F24" s="52">
        <f>Inside!I204</f>
        <v>1666.4999999999998</v>
      </c>
      <c r="G24" s="52">
        <f>Inside!J204</f>
        <v>1666.4999999999998</v>
      </c>
      <c r="H24" s="52">
        <f>Inside!K204</f>
        <v>1666.4999999999998</v>
      </c>
      <c r="I24" s="52">
        <f>Inside!L204</f>
        <v>1666.4999999999998</v>
      </c>
      <c r="J24" s="52">
        <f>Inside!M204</f>
        <v>1666.4999999999998</v>
      </c>
      <c r="K24" s="52">
        <f>Inside!N204</f>
        <v>1666.4999999999998</v>
      </c>
      <c r="L24" s="52">
        <f>Inside!O204</f>
        <v>1666.4999999999998</v>
      </c>
      <c r="M24" s="52">
        <f>Inside!P204</f>
        <v>1666.4999999999998</v>
      </c>
      <c r="N24" s="52">
        <f>Inside!Q204</f>
        <v>1666.4999999999998</v>
      </c>
    </row>
    <row r="25" spans="1:14" ht="12.75" customHeight="1">
      <c r="A25" s="62" t="str">
        <f ca="1">OFFSET(LangBase!A26,0,CURLANGUAGE-1)</f>
        <v>    прочие ОС</v>
      </c>
      <c r="B25" s="52">
        <f>Inside!E210</f>
        <v>0</v>
      </c>
      <c r="C25" s="52">
        <f>Inside!F210</f>
        <v>0</v>
      </c>
      <c r="D25" s="52">
        <f>Inside!G210</f>
        <v>4166.666666666667</v>
      </c>
      <c r="E25" s="52">
        <f>Inside!H210</f>
        <v>4166.666666666667</v>
      </c>
      <c r="F25" s="52">
        <f>Inside!I210</f>
        <v>4166.666666666667</v>
      </c>
      <c r="G25" s="52">
        <f>Inside!J210</f>
        <v>4166.666666666667</v>
      </c>
      <c r="H25" s="52">
        <f>Inside!K210</f>
        <v>4166.666666666667</v>
      </c>
      <c r="I25" s="52">
        <f>Inside!L210</f>
        <v>4166.666666666667</v>
      </c>
      <c r="J25" s="52">
        <f>Inside!M210</f>
        <v>4166.666666666667</v>
      </c>
      <c r="K25" s="52">
        <f>Inside!N210</f>
        <v>4166.666666666667</v>
      </c>
      <c r="L25" s="52">
        <f>Inside!O210</f>
        <v>4166.666666666667</v>
      </c>
      <c r="M25" s="52">
        <f>Inside!P210</f>
        <v>4166.666666666667</v>
      </c>
      <c r="N25" s="52">
        <f>Inside!Q210</f>
        <v>4166.666666666667</v>
      </c>
    </row>
    <row r="26" spans="1:14" ht="12.75" customHeight="1">
      <c r="A26" s="62" t="str">
        <f ca="1">OFFSET(LangBase!A27,0,CURLANGUAGE-1)</f>
        <v>Проценты по кредитам</v>
      </c>
      <c r="B26" s="52">
        <f>Данные!C262</f>
        <v>37500</v>
      </c>
      <c r="C26" s="52">
        <f>Данные!D262</f>
        <v>37500</v>
      </c>
      <c r="D26" s="52">
        <f>Данные!E262</f>
        <v>75000</v>
      </c>
      <c r="E26" s="52">
        <f>Данные!F262</f>
        <v>75000</v>
      </c>
      <c r="F26" s="52">
        <f>Данные!G262</f>
        <v>75000</v>
      </c>
      <c r="G26" s="52">
        <f>Данные!H262</f>
        <v>75000</v>
      </c>
      <c r="H26" s="52">
        <f>Данные!I262</f>
        <v>75000</v>
      </c>
      <c r="I26" s="52">
        <f>Данные!J262</f>
        <v>75000</v>
      </c>
      <c r="J26" s="52">
        <f>Данные!K262</f>
        <v>75000</v>
      </c>
      <c r="K26" s="52">
        <f>Данные!L262</f>
        <v>49999.99999999999</v>
      </c>
      <c r="L26" s="52">
        <f>Данные!M262</f>
        <v>24999.999999999996</v>
      </c>
      <c r="M26" s="52">
        <f>Данные!N262</f>
        <v>0</v>
      </c>
      <c r="N26" s="52">
        <f>Данные!O262</f>
        <v>0</v>
      </c>
    </row>
    <row r="27" spans="1:14" ht="12.75" customHeight="1">
      <c r="A27" s="62" t="str">
        <f ca="1">OFFSET(LangBase!A28,0,CURLANGUAGE-1)</f>
        <v>Лизинговые платежи</v>
      </c>
      <c r="B27" s="52">
        <f>Данные!C281</f>
        <v>0</v>
      </c>
      <c r="C27" s="52">
        <f>Данные!D281</f>
        <v>0</v>
      </c>
      <c r="D27" s="52">
        <f>Данные!E281</f>
        <v>0</v>
      </c>
      <c r="E27" s="52">
        <f>Данные!F281</f>
        <v>0</v>
      </c>
      <c r="F27" s="52">
        <f>Данные!G281</f>
        <v>0</v>
      </c>
      <c r="G27" s="52">
        <f>Данные!H281</f>
        <v>0</v>
      </c>
      <c r="H27" s="52">
        <f>Данные!I281</f>
        <v>0</v>
      </c>
      <c r="I27" s="52">
        <f>Данные!J281</f>
        <v>0</v>
      </c>
      <c r="J27" s="52">
        <f>Данные!K281</f>
        <v>0</v>
      </c>
      <c r="K27" s="52">
        <f>Данные!L281</f>
        <v>0</v>
      </c>
      <c r="L27" s="52">
        <f>Данные!M281</f>
        <v>0</v>
      </c>
      <c r="M27" s="52">
        <f>Данные!N281</f>
        <v>0</v>
      </c>
      <c r="N27" s="52">
        <f>Данные!O281</f>
        <v>0</v>
      </c>
    </row>
    <row r="28" spans="1:14" ht="12.75" customHeight="1">
      <c r="A28" s="206" t="str">
        <f ca="1">OFFSET(LangBase!A29,0,CURLANGUAGE-1)</f>
        <v>ПРИБЫЛЬ ДО НАЛОГООБЛОЖЕНИЯ</v>
      </c>
      <c r="B28" s="208">
        <f aca="true" t="shared" si="12" ref="B28:G28">B19-B20-B26-B27</f>
        <v>-155500</v>
      </c>
      <c r="C28" s="208">
        <f t="shared" si="12"/>
        <v>-1632500</v>
      </c>
      <c r="D28" s="208">
        <f t="shared" si="12"/>
        <v>-1463024.8333333333</v>
      </c>
      <c r="E28" s="208">
        <f t="shared" si="12"/>
        <v>-890924.8333333334</v>
      </c>
      <c r="F28" s="208">
        <f t="shared" si="12"/>
        <v>-270924.8333333334</v>
      </c>
      <c r="G28" s="208">
        <f t="shared" si="12"/>
        <v>749075.1666666666</v>
      </c>
      <c r="H28" s="208">
        <f aca="true" t="shared" si="13" ref="H28:N28">H19-H20-H26-H27</f>
        <v>749075.1666666666</v>
      </c>
      <c r="I28" s="208">
        <f t="shared" si="13"/>
        <v>1269075.1666666667</v>
      </c>
      <c r="J28" s="208">
        <f t="shared" si="13"/>
        <v>669075.1666666666</v>
      </c>
      <c r="K28" s="208">
        <f t="shared" si="13"/>
        <v>694075.1666666666</v>
      </c>
      <c r="L28" s="208">
        <f t="shared" si="13"/>
        <v>1799075.1666666667</v>
      </c>
      <c r="M28" s="208">
        <f t="shared" si="13"/>
        <v>2424075.1666666665</v>
      </c>
      <c r="N28" s="208">
        <f t="shared" si="13"/>
        <v>2424075.1666666665</v>
      </c>
    </row>
    <row r="29" spans="1:14" ht="12.75" customHeight="1">
      <c r="A29" s="62" t="str">
        <f ca="1">OFFSET(LangBase!A30,0,CURLANGUAGE-1)</f>
        <v>Налог на прибыль</v>
      </c>
      <c r="B29" s="52">
        <f>IF((B28+Inside!E337)&gt;0,(B28+Inside!E337)*PROFIT_TAX,0)</f>
        <v>0</v>
      </c>
      <c r="C29" s="52">
        <f>IF((C28+Inside!F337)&gt;0,(C28+Inside!F337)*PROFIT_TAX,0)</f>
        <v>0</v>
      </c>
      <c r="D29" s="52">
        <f>IF((D28+Inside!G337)&gt;0,(D28+Inside!G337)*PROFIT_TAX,0)</f>
        <v>0</v>
      </c>
      <c r="E29" s="52">
        <f>IF((E28+Inside!H337)&gt;0,(E28+Inside!H337)*PROFIT_TAX,0)</f>
        <v>0</v>
      </c>
      <c r="F29" s="52">
        <f>IF((F28+Inside!I337)&gt;0,(F28+Inside!I337)*PROFIT_TAX,0)</f>
        <v>0</v>
      </c>
      <c r="G29" s="52">
        <f>IF((G28+Inside!J337)&gt;0,(G28+Inside!J337)*PROFIT_TAX,0)</f>
        <v>44944.509999999995</v>
      </c>
      <c r="H29" s="52">
        <f>IF((H28+Inside!K337)&gt;0,(H28+Inside!K337)*PROFIT_TAX,0)</f>
        <v>44944.509999999995</v>
      </c>
      <c r="I29" s="52">
        <f>IF((I28+Inside!L337)&gt;0,(I28+Inside!L337)*PROFIT_TAX,0)</f>
        <v>76144.51</v>
      </c>
      <c r="J29" s="52">
        <f>IF((J28+Inside!M337)&gt;0,(J28+Inside!M337)*PROFIT_TAX,0)</f>
        <v>40144.509999999995</v>
      </c>
      <c r="K29" s="52">
        <f>IF((K28+Inside!N337)&gt;0,(K28+Inside!N337)*PROFIT_TAX,0)</f>
        <v>41644.509999999995</v>
      </c>
      <c r="L29" s="52">
        <f>IF((L28+Inside!O337)&gt;0,(L28+Inside!O337)*PROFIT_TAX,0)</f>
        <v>107944.51</v>
      </c>
      <c r="M29" s="52">
        <f>IF((M28+Inside!P337)&gt;0,(M28+Inside!P337)*PROFIT_TAX,0)</f>
        <v>145444.50999999998</v>
      </c>
      <c r="N29" s="52">
        <f>IF((N28+Inside!Q337)&gt;0,(N28+Inside!Q337)*PROFIT_TAX,0)</f>
        <v>145444.50999999998</v>
      </c>
    </row>
    <row r="30" spans="1:14" ht="12.75" customHeight="1" thickBot="1">
      <c r="A30" s="69" t="str">
        <f ca="1">OFFSET(LangBase!A31,0,CURLANGUAGE-1)</f>
        <v>ЧИСТАЯ ПРИБЫЛЬ</v>
      </c>
      <c r="B30" s="70">
        <f aca="true" t="shared" si="14" ref="B30:G30">B28-B29</f>
        <v>-155500</v>
      </c>
      <c r="C30" s="70">
        <f t="shared" si="14"/>
        <v>-1632500</v>
      </c>
      <c r="D30" s="70">
        <f t="shared" si="14"/>
        <v>-1463024.8333333333</v>
      </c>
      <c r="E30" s="70">
        <f t="shared" si="14"/>
        <v>-890924.8333333334</v>
      </c>
      <c r="F30" s="70">
        <f t="shared" si="14"/>
        <v>-270924.8333333334</v>
      </c>
      <c r="G30" s="70">
        <f t="shared" si="14"/>
        <v>704130.6566666666</v>
      </c>
      <c r="H30" s="70">
        <f aca="true" t="shared" si="15" ref="H30:N30">H28-H29</f>
        <v>704130.6566666666</v>
      </c>
      <c r="I30" s="70">
        <f t="shared" si="15"/>
        <v>1192930.6566666667</v>
      </c>
      <c r="J30" s="70">
        <f t="shared" si="15"/>
        <v>628930.6566666666</v>
      </c>
      <c r="K30" s="70">
        <f t="shared" si="15"/>
        <v>652430.6566666666</v>
      </c>
      <c r="L30" s="70">
        <f t="shared" si="15"/>
        <v>1691130.6566666667</v>
      </c>
      <c r="M30" s="70">
        <f t="shared" si="15"/>
        <v>2278630.6566666667</v>
      </c>
      <c r="N30" s="70">
        <f t="shared" si="15"/>
        <v>2278630.6566666667</v>
      </c>
    </row>
    <row r="31" spans="1:14" ht="12.75" customHeight="1">
      <c r="A31" s="4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</sheetData>
  <sheetProtection/>
  <printOptions/>
  <pageMargins left="0.984251968503937" right="0.984251968503937" top="0.984251968503937" bottom="0.984251968503937" header="0.5118110236220472" footer="0.5118110236220472"/>
  <pageSetup horizontalDpi="300" verticalDpi="300" orientation="landscape" paperSize="9"/>
  <headerFooter alignWithMargins="0">
    <oddHeader>&amp;LМастерская бизнес-планирования (tm)&amp;R&amp;"Arial Cyr,курсив\Инвестиционный анализ</oddHeader>
    <oddFooter>&amp;L&amp;D &amp;T&amp;C&amp;F&amp;RСтр.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N26"/>
  <sheetViews>
    <sheetView zoomScalePageLayoutView="0" workbookViewId="0" topLeftCell="A1">
      <selection activeCell="D31" sqref="D31"/>
    </sheetView>
  </sheetViews>
  <sheetFormatPr defaultColWidth="9.125" defaultRowHeight="12.75" customHeight="1"/>
  <cols>
    <col min="1" max="1" width="36.75390625" style="74" customWidth="1"/>
    <col min="2" max="14" width="10.75390625" style="74" customWidth="1"/>
    <col min="15" max="16384" width="9.125" style="74" customWidth="1"/>
  </cols>
  <sheetData>
    <row r="1" spans="1:14" s="210" customFormat="1" ht="25.5" customHeight="1" thickBot="1">
      <c r="A1" s="209" t="str">
        <f ca="1">OFFSET(LangBase!A32,0,CURLANGUAGE-1)</f>
        <v>БАЛАНС</v>
      </c>
      <c r="B1" s="204" t="str">
        <f>Данные!C124</f>
        <v>11/2001</v>
      </c>
      <c r="C1" s="204" t="str">
        <f>Данные!D124</f>
        <v>12/2001</v>
      </c>
      <c r="D1" s="204" t="str">
        <f>Данные!E124</f>
        <v>1/2002</v>
      </c>
      <c r="E1" s="204" t="str">
        <f>Данные!F124</f>
        <v>2/2002</v>
      </c>
      <c r="F1" s="204" t="str">
        <f>Данные!G124</f>
        <v>3/2002</v>
      </c>
      <c r="G1" s="204" t="str">
        <f>Данные!H124</f>
        <v>4/2002</v>
      </c>
      <c r="H1" s="204" t="str">
        <f>Данные!I124</f>
        <v>5/2002</v>
      </c>
      <c r="I1" s="204" t="str">
        <f>Данные!J124</f>
        <v>6/2002</v>
      </c>
      <c r="J1" s="204" t="str">
        <f>Данные!K124</f>
        <v>7/2002</v>
      </c>
      <c r="K1" s="204" t="str">
        <f>Данные!L124</f>
        <v>8/2002</v>
      </c>
      <c r="L1" s="204" t="str">
        <f>Данные!M124</f>
        <v>9/2002</v>
      </c>
      <c r="M1" s="204" t="str">
        <f>Данные!N124</f>
        <v>10/2002</v>
      </c>
      <c r="N1" s="204" t="str">
        <f>Данные!O124</f>
        <v>11/2002</v>
      </c>
    </row>
    <row r="2" spans="1:14" ht="12.75" customHeight="1">
      <c r="A2" s="72" t="str">
        <f ca="1">OFFSET(LangBase!A33,0,CURLANGUAGE-1)</f>
        <v>Денежные средства</v>
      </c>
      <c r="B2" s="73">
        <f>'Кэш-фло'!B25</f>
        <v>2904500</v>
      </c>
      <c r="C2" s="73">
        <f>'Кэш-фло'!C25</f>
        <v>1012000</v>
      </c>
      <c r="D2" s="73">
        <f>'Кэш-фло'!D25</f>
        <v>-433025</v>
      </c>
      <c r="E2" s="73">
        <f>'Кэш-фло'!E25</f>
        <v>-1255950</v>
      </c>
      <c r="F2" s="73">
        <f>'Кэш-фло'!F25</f>
        <v>-1481875</v>
      </c>
      <c r="G2" s="73">
        <f>'Кэш-фло'!G25</f>
        <v>-734994.51</v>
      </c>
      <c r="H2" s="73">
        <f>'Кэш-фло'!H25</f>
        <v>11885.979999999981</v>
      </c>
      <c r="I2" s="73">
        <f>'Кэш-фло'!I25</f>
        <v>1247566.47</v>
      </c>
      <c r="J2" s="73">
        <f>'Кэш-фло'!J25</f>
        <v>1919246.96</v>
      </c>
      <c r="K2" s="73">
        <f>'Кэш-фло'!K25</f>
        <v>614427.45</v>
      </c>
      <c r="L2" s="73">
        <f>'Кэш-фло'!L25</f>
        <v>348307.93999999994</v>
      </c>
      <c r="M2" s="73">
        <f>'Кэш-фло'!M25</f>
        <v>669688.4300000002</v>
      </c>
      <c r="N2" s="73">
        <f>'Кэш-фло'!N25</f>
        <v>2991068.9200000004</v>
      </c>
    </row>
    <row r="3" spans="1:14" ht="12.75" customHeight="1">
      <c r="A3" s="75" t="str">
        <f ca="1">OFFSET(LangBase!A34,0,CURLANGUAGE-1)</f>
        <v>Дебиторы</v>
      </c>
      <c r="B3" s="76">
        <f>SUM(Inside!$E$35:E35)-SUM(Inside!$E$21:E21)+SUM(Inside!$E$28:E28)+Данные!$B$67-SUM(Данные!$C$91:C91)</f>
        <v>0</v>
      </c>
      <c r="C3" s="76">
        <f>SUM(Inside!$E$35:F35)-SUM(Inside!$E$21:F21)+SUM(Inside!$E$28:F28)+Данные!$B$67-SUM(Данные!$C$91:D91)</f>
        <v>0</v>
      </c>
      <c r="D3" s="76">
        <f>SUM(Inside!$E$35:G35)-SUM(Inside!$E$21:G21)+SUM(Inside!$E$28:G28)+Данные!$B$67-SUM(Данные!$C$91:E91)</f>
        <v>27000</v>
      </c>
      <c r="E3" s="76">
        <f>SUM(Inside!$E$35:H35)-SUM(Inside!$E$21:H21)+SUM(Inside!$E$28:H28)+Данные!$B$67-SUM(Данные!$C$91:F91)</f>
        <v>54000</v>
      </c>
      <c r="F3" s="76">
        <f>SUM(Inside!$E$35:I35)-SUM(Inside!$E$21:I21)+SUM(Inside!$E$28:I28)+Данные!$B$67-SUM(Данные!$C$91:G91)</f>
        <v>54000</v>
      </c>
      <c r="G3" s="76">
        <f>SUM(Inside!$E$35:J35)-SUM(Inside!$E$21:J21)+SUM(Inside!$E$28:J28)+Данные!$B$67-SUM(Данные!$C$91:H91)</f>
        <v>54000</v>
      </c>
      <c r="H3" s="76">
        <f>SUM(Inside!$E$35:K35)-SUM(Inside!$E$21:K21)+SUM(Inside!$E$28:K28)+Данные!$B$67-SUM(Данные!$C$91:I91)</f>
        <v>54000</v>
      </c>
      <c r="I3" s="76">
        <f>SUM(Inside!$E$35:L35)-SUM(Inside!$E$21:L21)+SUM(Inside!$E$28:L28)+Данные!$B$67-SUM(Данные!$C$91:J91)</f>
        <v>54000</v>
      </c>
      <c r="J3" s="76">
        <f>SUM(Inside!$E$35:M35)-SUM(Inside!$E$21:M21)+SUM(Inside!$E$28:M28)+Данные!$B$67-SUM(Данные!$C$91:K91)</f>
        <v>54000</v>
      </c>
      <c r="K3" s="76">
        <f>SUM(Inside!$E$35:N35)-SUM(Inside!$E$21:N21)+SUM(Inside!$E$28:N28)+Данные!$B$67-SUM(Данные!$C$91:L91)</f>
        <v>54000</v>
      </c>
      <c r="L3" s="76">
        <f>SUM(Inside!$E$35:O35)-SUM(Inside!$E$21:O21)+SUM(Inside!$E$28:O28)+Данные!$B$67-SUM(Данные!$C$91:M91)</f>
        <v>54000</v>
      </c>
      <c r="M3" s="76">
        <f>SUM(Inside!$E$35:P35)-SUM(Inside!$E$21:P21)+SUM(Inside!$E$28:P28)+Данные!$B$67-SUM(Данные!$C$91:N91)</f>
        <v>54000</v>
      </c>
      <c r="N3" s="76">
        <f>SUM(Inside!$E$35:Q35)-SUM(Inside!$E$21:Q21)+SUM(Inside!$E$28:Q28)+Данные!$B$67-SUM(Данные!$C$91:O91)</f>
        <v>54000</v>
      </c>
    </row>
    <row r="4" spans="1:14" ht="12.75" customHeight="1">
      <c r="A4" s="75" t="str">
        <f ca="1">OFFSET(LangBase!A35,0,CURLANGUAGE-1)</f>
        <v>Запасы</v>
      </c>
      <c r="B4" s="76">
        <f>Данные!$B$61+SUM(Inside!$E72:E72)-SUM(Inside!$E79:E79)</f>
        <v>0</v>
      </c>
      <c r="C4" s="76">
        <f>Данные!$B$61+SUM(Inside!$E72:F72)-SUM(Inside!$E79:F79)</f>
        <v>0</v>
      </c>
      <c r="D4" s="76">
        <f>Данные!$B$61+SUM(Inside!$E72:G72)-SUM(Inside!$E79:G79)</f>
        <v>0</v>
      </c>
      <c r="E4" s="76">
        <f>Данные!$B$61+SUM(Inside!$E72:H72)-SUM(Inside!$E79:H79)</f>
        <v>0</v>
      </c>
      <c r="F4" s="76">
        <f>Данные!$B$61+SUM(Inside!$E72:I72)-SUM(Inside!$E79:I79)</f>
        <v>0</v>
      </c>
      <c r="G4" s="76">
        <f>Данные!$B$61+SUM(Inside!$E72:J72)-SUM(Inside!$E79:J79)</f>
        <v>0</v>
      </c>
      <c r="H4" s="76">
        <f>Данные!$B$61+SUM(Inside!$E72:K72)-SUM(Inside!$E79:K79)</f>
        <v>0</v>
      </c>
      <c r="I4" s="76">
        <f>Данные!$B$61+SUM(Inside!$E72:L72)-SUM(Inside!$E79:L79)</f>
        <v>0</v>
      </c>
      <c r="J4" s="76">
        <f>Данные!$B$61+SUM(Inside!$E72:M72)-SUM(Inside!$E79:M79)</f>
        <v>0</v>
      </c>
      <c r="K4" s="76">
        <f>Данные!$B$61+SUM(Inside!$E72:N72)-SUM(Inside!$E79:N79)</f>
        <v>0</v>
      </c>
      <c r="L4" s="76">
        <f>Данные!$B$61+SUM(Inside!$E72:O72)-SUM(Inside!$E79:O79)</f>
        <v>0</v>
      </c>
      <c r="M4" s="76">
        <f>Данные!$B$61+SUM(Inside!$E72:P72)-SUM(Inside!$E79:P79)</f>
        <v>0</v>
      </c>
      <c r="N4" s="76">
        <f>Данные!$B$61+SUM(Inside!$E72:Q72)-SUM(Inside!$E79:Q79)</f>
        <v>0</v>
      </c>
    </row>
    <row r="5" spans="1:14" ht="12.75" customHeight="1">
      <c r="A5" s="75" t="str">
        <f ca="1">OFFSET(LangBase!A36,0,CURLANGUAGE-1)</f>
        <v>Прочие оборотные активы</v>
      </c>
      <c r="B5" s="76">
        <f>Данные!$B69+Inside!E3+Inside!E5</f>
        <v>0</v>
      </c>
      <c r="C5" s="76">
        <f>Данные!$B69+Inside!F3+Inside!F5</f>
        <v>0</v>
      </c>
      <c r="D5" s="76">
        <f>Данные!$B69+Inside!G3+Inside!G5</f>
        <v>0</v>
      </c>
      <c r="E5" s="76">
        <f>Данные!$B69+Inside!H3+Inside!H5</f>
        <v>0</v>
      </c>
      <c r="F5" s="76">
        <f>Данные!$B69+Inside!I3+Inside!I5</f>
        <v>0</v>
      </c>
      <c r="G5" s="76">
        <f>Данные!$B69+Inside!J3+Inside!J5</f>
        <v>0</v>
      </c>
      <c r="H5" s="76">
        <f>Данные!$B69+Inside!K3+Inside!K5</f>
        <v>0</v>
      </c>
      <c r="I5" s="76">
        <f>Данные!$B69+Inside!L3+Inside!L5</f>
        <v>0</v>
      </c>
      <c r="J5" s="76">
        <f>Данные!$B69+Inside!M3+Inside!M5</f>
        <v>0</v>
      </c>
      <c r="K5" s="76">
        <f>Данные!$B69+Inside!N3+Inside!N5</f>
        <v>0</v>
      </c>
      <c r="L5" s="76">
        <f>Данные!$B69+Inside!O3+Inside!O5</f>
        <v>0</v>
      </c>
      <c r="M5" s="76">
        <f>Данные!$B69+Inside!P3+Inside!P5</f>
        <v>0</v>
      </c>
      <c r="N5" s="76">
        <f>Данные!$B69+Inside!Q3+Inside!Q5</f>
        <v>0</v>
      </c>
    </row>
    <row r="6" spans="1:14" ht="12.75" customHeight="1">
      <c r="A6" s="211" t="str">
        <f ca="1">OFFSET(LangBase!A37,0,CURLANGUAGE-1)</f>
        <v>Суммарные оборотные активы</v>
      </c>
      <c r="B6" s="212">
        <f aca="true" t="shared" si="0" ref="B6:G6">SUM(B2:B5)</f>
        <v>2904500</v>
      </c>
      <c r="C6" s="212">
        <f t="shared" si="0"/>
        <v>1012000</v>
      </c>
      <c r="D6" s="212">
        <f t="shared" si="0"/>
        <v>-406025</v>
      </c>
      <c r="E6" s="212">
        <f t="shared" si="0"/>
        <v>-1201950</v>
      </c>
      <c r="F6" s="212">
        <f t="shared" si="0"/>
        <v>-1427875</v>
      </c>
      <c r="G6" s="212">
        <f t="shared" si="0"/>
        <v>-680994.51</v>
      </c>
      <c r="H6" s="212">
        <f aca="true" t="shared" si="1" ref="H6:N6">SUM(H2:H5)</f>
        <v>65885.97999999998</v>
      </c>
      <c r="I6" s="212">
        <f t="shared" si="1"/>
        <v>1301566.47</v>
      </c>
      <c r="J6" s="212">
        <f t="shared" si="1"/>
        <v>1973246.96</v>
      </c>
      <c r="K6" s="212">
        <f t="shared" si="1"/>
        <v>668427.45</v>
      </c>
      <c r="L6" s="212">
        <f t="shared" si="1"/>
        <v>402307.93999999994</v>
      </c>
      <c r="M6" s="212">
        <f t="shared" si="1"/>
        <v>723688.4300000002</v>
      </c>
      <c r="N6" s="212">
        <f t="shared" si="1"/>
        <v>3045068.9200000004</v>
      </c>
    </row>
    <row r="7" spans="1:14" ht="12.75" customHeight="1">
      <c r="A7" s="75" t="str">
        <f ca="1">OFFSET(LangBase!A38,0,CURLANGUAGE-1)</f>
        <v>Основные средства</v>
      </c>
      <c r="B7" s="76">
        <f aca="true" t="shared" si="2" ref="B7:G7">SUM(B8:B12)</f>
        <v>0</v>
      </c>
      <c r="C7" s="76">
        <f t="shared" si="2"/>
        <v>410000</v>
      </c>
      <c r="D7" s="76">
        <f t="shared" si="2"/>
        <v>402500.1666666666</v>
      </c>
      <c r="E7" s="76">
        <f t="shared" si="2"/>
        <v>395000.3333333334</v>
      </c>
      <c r="F7" s="76">
        <f t="shared" si="2"/>
        <v>387500.5</v>
      </c>
      <c r="G7" s="76">
        <f t="shared" si="2"/>
        <v>380000.6666666666</v>
      </c>
      <c r="H7" s="76">
        <f aca="true" t="shared" si="3" ref="H7:N7">SUM(H8:H12)</f>
        <v>372500.8333333334</v>
      </c>
      <c r="I7" s="76">
        <f t="shared" si="3"/>
        <v>365001</v>
      </c>
      <c r="J7" s="76">
        <f t="shared" si="3"/>
        <v>357501.1666666666</v>
      </c>
      <c r="K7" s="76">
        <f t="shared" si="3"/>
        <v>350001.3333333334</v>
      </c>
      <c r="L7" s="76">
        <f t="shared" si="3"/>
        <v>342501.5</v>
      </c>
      <c r="M7" s="76">
        <f t="shared" si="3"/>
        <v>335001.66666666674</v>
      </c>
      <c r="N7" s="76">
        <f t="shared" si="3"/>
        <v>327501.8333333334</v>
      </c>
    </row>
    <row r="8" spans="1:14" ht="12.75" customHeight="1">
      <c r="A8" s="77" t="str">
        <f ca="1">OFFSET(LangBase!A39,0,CURLANGUAGE-1)</f>
        <v>   здания и сооружения </v>
      </c>
      <c r="B8" s="76">
        <f>Inside!E213+Данные!$B52</f>
        <v>0</v>
      </c>
      <c r="C8" s="76">
        <f>Inside!F213+Данные!$B52</f>
        <v>0</v>
      </c>
      <c r="D8" s="76">
        <f>Inside!G213+Данные!$B52</f>
        <v>0</v>
      </c>
      <c r="E8" s="76">
        <f>Inside!H213+Данные!$B52</f>
        <v>0</v>
      </c>
      <c r="F8" s="76">
        <f>Inside!I213+Данные!$B52</f>
        <v>0</v>
      </c>
      <c r="G8" s="76">
        <f>Inside!J213+Данные!$B52</f>
        <v>0</v>
      </c>
      <c r="H8" s="76">
        <f>Inside!K213+Данные!$B52</f>
        <v>0</v>
      </c>
      <c r="I8" s="76">
        <f>Inside!L213+Данные!$B52</f>
        <v>0</v>
      </c>
      <c r="J8" s="76">
        <f>Inside!M213+Данные!$B52</f>
        <v>0</v>
      </c>
      <c r="K8" s="76">
        <f>Inside!N213+Данные!$B52</f>
        <v>0</v>
      </c>
      <c r="L8" s="76">
        <f>Inside!O213+Данные!$B52</f>
        <v>0</v>
      </c>
      <c r="M8" s="76">
        <f>Inside!P213+Данные!$B52</f>
        <v>0</v>
      </c>
      <c r="N8" s="76">
        <f>Inside!Q213+Данные!$B52</f>
        <v>0</v>
      </c>
    </row>
    <row r="9" spans="1:14" ht="12.75" customHeight="1">
      <c r="A9" s="77" t="str">
        <f ca="1">OFFSET(LangBase!A40,0,CURLANGUAGE-1)</f>
        <v>   оборудование</v>
      </c>
      <c r="B9" s="76">
        <f>Inside!E219+Данные!$B53</f>
        <v>0</v>
      </c>
      <c r="C9" s="76">
        <f>Inside!F219+Данные!$B53</f>
        <v>100000</v>
      </c>
      <c r="D9" s="76">
        <f>Inside!G219+Данные!$B53</f>
        <v>98333.33333333333</v>
      </c>
      <c r="E9" s="76">
        <f>Inside!H219+Данные!$B53</f>
        <v>96666.66666666667</v>
      </c>
      <c r="F9" s="76">
        <f>Inside!I219+Данные!$B53</f>
        <v>95000</v>
      </c>
      <c r="G9" s="76">
        <f>Inside!J219+Данные!$B53</f>
        <v>93333.33333333333</v>
      </c>
      <c r="H9" s="76">
        <f>Inside!K219+Данные!$B53</f>
        <v>91666.66666666667</v>
      </c>
      <c r="I9" s="76">
        <f>Inside!L219+Данные!$B53</f>
        <v>90000</v>
      </c>
      <c r="J9" s="76">
        <f>Inside!M219+Данные!$B53</f>
        <v>88333.33333333333</v>
      </c>
      <c r="K9" s="76">
        <f>Inside!N219+Данные!$B53</f>
        <v>86666.66666666667</v>
      </c>
      <c r="L9" s="76">
        <f>Inside!O219+Данные!$B53</f>
        <v>85000</v>
      </c>
      <c r="M9" s="76">
        <f>Inside!P219+Данные!$B53</f>
        <v>83333.33333333334</v>
      </c>
      <c r="N9" s="76">
        <f>Inside!Q219+Данные!$B53</f>
        <v>81666.66666666667</v>
      </c>
    </row>
    <row r="10" spans="1:14" ht="12.75" customHeight="1">
      <c r="A10" s="77" t="str">
        <f ca="1">OFFSET(LangBase!A41,0,CURLANGUAGE-1)</f>
        <v>   транспортные средства</v>
      </c>
      <c r="B10" s="76">
        <f>Inside!E223+Данные!$B54</f>
        <v>0</v>
      </c>
      <c r="C10" s="76">
        <f>Inside!F223+Данные!$B54</f>
        <v>0</v>
      </c>
      <c r="D10" s="76">
        <f>Inside!G223+Данные!$B54</f>
        <v>0</v>
      </c>
      <c r="E10" s="76">
        <f>Inside!H223+Данные!$B54</f>
        <v>0</v>
      </c>
      <c r="F10" s="76">
        <f>Inside!I223+Данные!$B54</f>
        <v>0</v>
      </c>
      <c r="G10" s="76">
        <f>Inside!J223+Данные!$B54</f>
        <v>0</v>
      </c>
      <c r="H10" s="76">
        <f>Inside!K223+Данные!$B54</f>
        <v>0</v>
      </c>
      <c r="I10" s="76">
        <f>Inside!L223+Данные!$B54</f>
        <v>0</v>
      </c>
      <c r="J10" s="76">
        <f>Inside!M223+Данные!$B54</f>
        <v>0</v>
      </c>
      <c r="K10" s="76">
        <f>Inside!N223+Данные!$B54</f>
        <v>0</v>
      </c>
      <c r="L10" s="76">
        <f>Inside!O223+Данные!$B54</f>
        <v>0</v>
      </c>
      <c r="M10" s="76">
        <f>Inside!P223+Данные!$B54</f>
        <v>0</v>
      </c>
      <c r="N10" s="76">
        <f>Inside!Q223+Данные!$B54</f>
        <v>0</v>
      </c>
    </row>
    <row r="11" spans="1:14" ht="12.75" customHeight="1">
      <c r="A11" s="77" t="str">
        <f ca="1">OFFSET(LangBase!A42,0,CURLANGUAGE-1)</f>
        <v>   оргтехника</v>
      </c>
      <c r="B11" s="76">
        <f>Inside!E230+Данные!$B55</f>
        <v>0</v>
      </c>
      <c r="C11" s="76">
        <f>Inside!F230+Данные!$B55</f>
        <v>60000</v>
      </c>
      <c r="D11" s="76">
        <f>Inside!G230+Данные!$B55</f>
        <v>58333.5</v>
      </c>
      <c r="E11" s="76">
        <f>Inside!H230+Данные!$B55</f>
        <v>56667</v>
      </c>
      <c r="F11" s="76">
        <f>Inside!I230+Данные!$B55</f>
        <v>55000.5</v>
      </c>
      <c r="G11" s="76">
        <f>Inside!J230+Данные!$B55</f>
        <v>53334</v>
      </c>
      <c r="H11" s="76">
        <f>Inside!K230+Данные!$B55</f>
        <v>51667.5</v>
      </c>
      <c r="I11" s="76">
        <f>Inside!L230+Данные!$B55</f>
        <v>50001</v>
      </c>
      <c r="J11" s="76">
        <f>Inside!M230+Данные!$B55</f>
        <v>48334.5</v>
      </c>
      <c r="K11" s="76">
        <f>Inside!N230+Данные!$B55</f>
        <v>46668</v>
      </c>
      <c r="L11" s="76">
        <f>Inside!O230+Данные!$B55</f>
        <v>45001.5</v>
      </c>
      <c r="M11" s="76">
        <f>Inside!P230+Данные!$B55</f>
        <v>43335</v>
      </c>
      <c r="N11" s="76">
        <f>Inside!Q230+Данные!$B55</f>
        <v>41668.5</v>
      </c>
    </row>
    <row r="12" spans="1:14" ht="12.75" customHeight="1">
      <c r="A12" s="77" t="str">
        <f ca="1">OFFSET(LangBase!A43,0,CURLANGUAGE-1)</f>
        <v>   прочие ОС</v>
      </c>
      <c r="B12" s="76">
        <f>Inside!E236+Данные!$B56</f>
        <v>0</v>
      </c>
      <c r="C12" s="76">
        <f>Inside!F236+Данные!$B56</f>
        <v>250000</v>
      </c>
      <c r="D12" s="76">
        <f>Inside!G236+Данные!$B56</f>
        <v>245833.3333333333</v>
      </c>
      <c r="E12" s="76">
        <f>Inside!H236+Данные!$B56</f>
        <v>241666.6666666667</v>
      </c>
      <c r="F12" s="76">
        <f>Inside!I236+Данные!$B56</f>
        <v>237500</v>
      </c>
      <c r="G12" s="76">
        <f>Inside!J236+Данные!$B56</f>
        <v>233333.3333333333</v>
      </c>
      <c r="H12" s="76">
        <f>Inside!K236+Данные!$B56</f>
        <v>229166.6666666667</v>
      </c>
      <c r="I12" s="76">
        <f>Inside!L236+Данные!$B56</f>
        <v>225000</v>
      </c>
      <c r="J12" s="76">
        <f>Inside!M236+Данные!$B56</f>
        <v>220833.3333333333</v>
      </c>
      <c r="K12" s="76">
        <f>Inside!N236+Данные!$B56</f>
        <v>216666.6666666667</v>
      </c>
      <c r="L12" s="76">
        <f>Inside!O236+Данные!$B56</f>
        <v>212500</v>
      </c>
      <c r="M12" s="76">
        <f>Inside!P236+Данные!$B56</f>
        <v>208333.33333333337</v>
      </c>
      <c r="N12" s="76">
        <f>Inside!Q236+Данные!$B56</f>
        <v>204166.6666666667</v>
      </c>
    </row>
    <row r="13" spans="1:14" ht="12.75" customHeight="1">
      <c r="A13" s="75" t="str">
        <f ca="1">OFFSET(LangBase!A44,0,CURLANGUAGE-1)</f>
        <v>Незавершенное строительство</v>
      </c>
      <c r="B13" s="76">
        <f>Inside!E135+Inside!E141+Inside!E145+Inside!E152+Inside!E158+Данные!$B57</f>
        <v>0</v>
      </c>
      <c r="C13" s="76">
        <f>Inside!F135+Inside!F141+Inside!F145+Inside!F152+Inside!F158+Данные!$B57</f>
        <v>0</v>
      </c>
      <c r="D13" s="76">
        <f>Inside!G135+Inside!G141+Inside!G145+Inside!G152+Inside!G158+Данные!$B57</f>
        <v>0</v>
      </c>
      <c r="E13" s="76">
        <f>Inside!H135+Inside!H141+Inside!H145+Inside!H152+Inside!H158+Данные!$B57</f>
        <v>0</v>
      </c>
      <c r="F13" s="76">
        <f>Inside!I135+Inside!I141+Inside!I145+Inside!I152+Inside!I158+Данные!$B57</f>
        <v>0</v>
      </c>
      <c r="G13" s="76">
        <f>Inside!J135+Inside!J141+Inside!J145+Inside!J152+Inside!J158+Данные!$B57</f>
        <v>0</v>
      </c>
      <c r="H13" s="76">
        <f>Inside!K135+Inside!K141+Inside!K145+Inside!K152+Inside!K158+Данные!$B57</f>
        <v>0</v>
      </c>
      <c r="I13" s="76">
        <f>Inside!L135+Inside!L141+Inside!L145+Inside!L152+Inside!L158+Данные!$B57</f>
        <v>0</v>
      </c>
      <c r="J13" s="76">
        <f>Inside!M135+Inside!M141+Inside!M145+Inside!M152+Inside!M158+Данные!$B57</f>
        <v>0</v>
      </c>
      <c r="K13" s="76">
        <f>Inside!N135+Inside!N141+Inside!N145+Inside!N152+Inside!N158+Данные!$B57</f>
        <v>0</v>
      </c>
      <c r="L13" s="76">
        <f>Inside!O135+Inside!O141+Inside!O145+Inside!O152+Inside!O158+Данные!$B57</f>
        <v>0</v>
      </c>
      <c r="M13" s="76">
        <f>Inside!P135+Inside!P141+Inside!P145+Inside!P152+Inside!P158+Данные!$B57</f>
        <v>0</v>
      </c>
      <c r="N13" s="76">
        <f>Inside!Q135+Inside!Q141+Inside!Q145+Inside!Q152+Inside!Q158+Данные!$B57</f>
        <v>0</v>
      </c>
    </row>
    <row r="14" spans="1:14" ht="12.75" customHeight="1">
      <c r="A14" s="75" t="str">
        <f ca="1">OFFSET(LangBase!A45,0,CURLANGUAGE-1)</f>
        <v>Прочие активы </v>
      </c>
      <c r="B14" s="76">
        <f>Данные!B58+Данные!C120</f>
        <v>0</v>
      </c>
      <c r="C14" s="76">
        <f>B14+Данные!D120</f>
        <v>0</v>
      </c>
      <c r="D14" s="76">
        <f>C14+Данные!E120</f>
        <v>0</v>
      </c>
      <c r="E14" s="76">
        <f>D14+Данные!F120</f>
        <v>0</v>
      </c>
      <c r="F14" s="76">
        <f>E14+Данные!G120</f>
        <v>0</v>
      </c>
      <c r="G14" s="76">
        <f>F14+Данные!H120</f>
        <v>0</v>
      </c>
      <c r="H14" s="76">
        <f>G14+Данные!I120</f>
        <v>0</v>
      </c>
      <c r="I14" s="76">
        <f>H14+Данные!J120</f>
        <v>0</v>
      </c>
      <c r="J14" s="76">
        <f>I14+Данные!K120</f>
        <v>0</v>
      </c>
      <c r="K14" s="76">
        <f>J14+Данные!L120</f>
        <v>0</v>
      </c>
      <c r="L14" s="76">
        <f>K14+Данные!M120</f>
        <v>0</v>
      </c>
      <c r="M14" s="76">
        <f>L14+Данные!N120</f>
        <v>0</v>
      </c>
      <c r="N14" s="76">
        <f>M14+Данные!O120</f>
        <v>0</v>
      </c>
    </row>
    <row r="15" spans="1:14" ht="12.75" customHeight="1">
      <c r="A15" s="211" t="str">
        <f ca="1">OFFSET(LangBase!A46,0,CURLANGUAGE-1)</f>
        <v>Суммарные внеоборотные активы</v>
      </c>
      <c r="B15" s="212">
        <f aca="true" t="shared" si="4" ref="B15:G15">B7+B13+B14</f>
        <v>0</v>
      </c>
      <c r="C15" s="212">
        <f t="shared" si="4"/>
        <v>410000</v>
      </c>
      <c r="D15" s="212">
        <f t="shared" si="4"/>
        <v>402500.1666666666</v>
      </c>
      <c r="E15" s="212">
        <f t="shared" si="4"/>
        <v>395000.3333333334</v>
      </c>
      <c r="F15" s="212">
        <f t="shared" si="4"/>
        <v>387500.5</v>
      </c>
      <c r="G15" s="212">
        <f t="shared" si="4"/>
        <v>380000.6666666666</v>
      </c>
      <c r="H15" s="212">
        <f aca="true" t="shared" si="5" ref="H15:N15">H7+H13+H14</f>
        <v>372500.8333333334</v>
      </c>
      <c r="I15" s="212">
        <f t="shared" si="5"/>
        <v>365001</v>
      </c>
      <c r="J15" s="212">
        <f t="shared" si="5"/>
        <v>357501.1666666666</v>
      </c>
      <c r="K15" s="212">
        <f t="shared" si="5"/>
        <v>350001.3333333334</v>
      </c>
      <c r="L15" s="212">
        <f t="shared" si="5"/>
        <v>342501.5</v>
      </c>
      <c r="M15" s="212">
        <f t="shared" si="5"/>
        <v>335001.66666666674</v>
      </c>
      <c r="N15" s="212">
        <f t="shared" si="5"/>
        <v>327501.8333333334</v>
      </c>
    </row>
    <row r="16" spans="1:14" ht="12.75" customHeight="1">
      <c r="A16" s="78" t="str">
        <f ca="1">OFFSET(LangBase!A47,0,CURLANGUAGE-1)</f>
        <v>ИТОГО АКТИВОВ</v>
      </c>
      <c r="B16" s="79">
        <f aca="true" t="shared" si="6" ref="B16:G16">B15+B6</f>
        <v>2904500</v>
      </c>
      <c r="C16" s="79">
        <f t="shared" si="6"/>
        <v>1422000</v>
      </c>
      <c r="D16" s="79">
        <f t="shared" si="6"/>
        <v>-3524.833333333372</v>
      </c>
      <c r="E16" s="79">
        <f t="shared" si="6"/>
        <v>-806949.6666666666</v>
      </c>
      <c r="F16" s="79">
        <f t="shared" si="6"/>
        <v>-1040374.5</v>
      </c>
      <c r="G16" s="79">
        <f t="shared" si="6"/>
        <v>-300993.8433333334</v>
      </c>
      <c r="H16" s="79">
        <f aca="true" t="shared" si="7" ref="H16:N16">H15+H6</f>
        <v>438386.81333333335</v>
      </c>
      <c r="I16" s="79">
        <f t="shared" si="7"/>
        <v>1666567.47</v>
      </c>
      <c r="J16" s="79">
        <f t="shared" si="7"/>
        <v>2330748.1266666665</v>
      </c>
      <c r="K16" s="79">
        <f t="shared" si="7"/>
        <v>1018428.7833333333</v>
      </c>
      <c r="L16" s="79">
        <f t="shared" si="7"/>
        <v>744809.44</v>
      </c>
      <c r="M16" s="79">
        <f t="shared" si="7"/>
        <v>1058690.096666667</v>
      </c>
      <c r="N16" s="79">
        <f t="shared" si="7"/>
        <v>3372570.753333334</v>
      </c>
    </row>
    <row r="17" spans="1:14" ht="12.75" customHeight="1">
      <c r="A17" s="75" t="str">
        <f ca="1">OFFSET(LangBase!A48,0,CURLANGUAGE-1)</f>
        <v>Кредиторская задолженность</v>
      </c>
      <c r="B17" s="76">
        <f>Данные!$B$77-SUM(Данные!$C$92:C92)+SUM(Inside!$E51:E51)-SUM(Inside!$E58:E58)</f>
        <v>0</v>
      </c>
      <c r="C17" s="76">
        <f>Данные!$B$77-SUM(Данные!$C$92:D92)+SUM(Inside!$E51:F51)-SUM(Inside!$E58:F58)</f>
        <v>0</v>
      </c>
      <c r="D17" s="76">
        <f>Данные!$B$77-SUM(Данные!$C$92:E92)+SUM(Inside!$E51:G51)-SUM(Inside!$E58:G58)</f>
        <v>0</v>
      </c>
      <c r="E17" s="76">
        <f>Данные!$B$77-SUM(Данные!$C$92:F92)+SUM(Inside!$E51:H51)-SUM(Inside!$E58:H58)</f>
        <v>0</v>
      </c>
      <c r="F17" s="76">
        <f>Данные!$B$77-SUM(Данные!$C$92:G92)+SUM(Inside!$E51:I51)-SUM(Inside!$E58:I58)</f>
        <v>0</v>
      </c>
      <c r="G17" s="76">
        <f>Данные!$B$77-SUM(Данные!$C$92:H92)+SUM(Inside!$E51:J51)-SUM(Inside!$E58:J58)</f>
        <v>0</v>
      </c>
      <c r="H17" s="76">
        <f>Данные!$B$77-SUM(Данные!$C$92:I92)+SUM(Inside!$E51:K51)-SUM(Inside!$E58:K58)</f>
        <v>0</v>
      </c>
      <c r="I17" s="76">
        <f>Данные!$B$77-SUM(Данные!$C$92:J92)+SUM(Inside!$E51:L51)-SUM(Inside!$E58:L58)</f>
        <v>0</v>
      </c>
      <c r="J17" s="76">
        <f>Данные!$B$77-SUM(Данные!$C$92:K92)+SUM(Inside!$E51:M51)-SUM(Inside!$E58:M58)</f>
        <v>0</v>
      </c>
      <c r="K17" s="76">
        <f>Данные!$B$77-SUM(Данные!$C$92:L92)+SUM(Inside!$E51:N51)-SUM(Inside!$E58:N58)</f>
        <v>0</v>
      </c>
      <c r="L17" s="76">
        <f>Данные!$B$77-SUM(Данные!$C$92:M92)+SUM(Inside!$E51:O51)-SUM(Inside!$E58:O58)</f>
        <v>0</v>
      </c>
      <c r="M17" s="76">
        <f>Данные!$B$77-SUM(Данные!$C$92:N92)+SUM(Inside!$E51:P51)-SUM(Inside!$E58:P58)</f>
        <v>0</v>
      </c>
      <c r="N17" s="76">
        <f>Данные!$B$77-SUM(Данные!$C$92:O92)+SUM(Inside!$E51:Q51)-SUM(Inside!$E58:Q58)</f>
        <v>0</v>
      </c>
    </row>
    <row r="18" spans="1:14" ht="12.75" customHeight="1">
      <c r="A18" s="80" t="str">
        <f ca="1">OFFSET(LangBase!A49,0,CURLANGUAGE-1)</f>
        <v>Текущая часть кредитов</v>
      </c>
      <c r="B18" s="81">
        <f ca="1">MIN(SUM(OFFSET('Кэш-фло'!B17,0,1,1,12/PERIOD_LEN)),Данные!C265)</f>
        <v>3000000</v>
      </c>
      <c r="C18" s="81">
        <f ca="1">MIN(SUM(OFFSET('Кэш-фло'!C17,0,1,1,12/PERIOD_LEN)),Данные!D265)</f>
        <v>3000000</v>
      </c>
      <c r="D18" s="81">
        <f ca="1">MIN(SUM(OFFSET('Кэш-фло'!D17,0,1,1,12/PERIOD_LEN)),Данные!E265)</f>
        <v>6000000</v>
      </c>
      <c r="E18" s="81">
        <f ca="1">MIN(SUM(OFFSET('Кэш-фло'!E17,0,1,1,12/PERIOD_LEN)),Данные!F265)</f>
        <v>6000000</v>
      </c>
      <c r="F18" s="81">
        <f ca="1">MIN(SUM(OFFSET('Кэш-фло'!F17,0,1,1,12/PERIOD_LEN)),Данные!G265)</f>
        <v>6000000</v>
      </c>
      <c r="G18" s="81">
        <f ca="1">MIN(SUM(OFFSET('Кэш-фло'!G17,0,1,1,12/PERIOD_LEN)),Данные!H265)</f>
        <v>6000000</v>
      </c>
      <c r="H18" s="81">
        <f ca="1">MIN(SUM(OFFSET('Кэш-фло'!H17,0,1,1,12/PERIOD_LEN)),Данные!I265)</f>
        <v>6000000</v>
      </c>
      <c r="I18" s="81">
        <f ca="1">MIN(SUM(OFFSET('Кэш-фло'!I17,0,1,1,12/PERIOD_LEN)),Данные!J265)</f>
        <v>6000000</v>
      </c>
      <c r="J18" s="81">
        <f ca="1">MIN(SUM(OFFSET('Кэш-фло'!J17,0,1,1,12/PERIOD_LEN)),Данные!K265)</f>
        <v>6000000</v>
      </c>
      <c r="K18" s="81">
        <f ca="1">MIN(SUM(OFFSET('Кэш-фло'!K17,0,1,1,12/PERIOD_LEN)),Данные!L265)</f>
        <v>4000000</v>
      </c>
      <c r="L18" s="81">
        <f ca="1">MIN(SUM(OFFSET('Кэш-фло'!L17,0,1,1,12/PERIOD_LEN)),Данные!M265)</f>
        <v>2000000</v>
      </c>
      <c r="M18" s="81">
        <f ca="1">MIN(SUM(OFFSET('Кэш-фло'!M17,0,1,1,12/PERIOD_LEN)),Данные!N265)</f>
        <v>0</v>
      </c>
      <c r="N18" s="81">
        <f ca="1">MIN(SUM(OFFSET('Кэш-фло'!N17,0,1,1,12/PERIOD_LEN)),Данные!O265)</f>
        <v>0</v>
      </c>
    </row>
    <row r="19" spans="1:14" ht="12.75" customHeight="1">
      <c r="A19" s="211" t="str">
        <f ca="1">OFFSET(LangBase!A50,0,CURLANGUAGE-1)</f>
        <v>Суммарные краткосрочные обязательства</v>
      </c>
      <c r="B19" s="212">
        <f aca="true" t="shared" si="8" ref="B19:G19">B17+B18</f>
        <v>3000000</v>
      </c>
      <c r="C19" s="212">
        <f t="shared" si="8"/>
        <v>3000000</v>
      </c>
      <c r="D19" s="212">
        <f t="shared" si="8"/>
        <v>6000000</v>
      </c>
      <c r="E19" s="212">
        <f t="shared" si="8"/>
        <v>6000000</v>
      </c>
      <c r="F19" s="212">
        <f t="shared" si="8"/>
        <v>6000000</v>
      </c>
      <c r="G19" s="212">
        <f t="shared" si="8"/>
        <v>6000000</v>
      </c>
      <c r="H19" s="212">
        <f aca="true" t="shared" si="9" ref="H19:N19">H17+H18</f>
        <v>6000000</v>
      </c>
      <c r="I19" s="212">
        <f t="shared" si="9"/>
        <v>6000000</v>
      </c>
      <c r="J19" s="212">
        <f t="shared" si="9"/>
        <v>6000000</v>
      </c>
      <c r="K19" s="212">
        <f t="shared" si="9"/>
        <v>4000000</v>
      </c>
      <c r="L19" s="212">
        <f t="shared" si="9"/>
        <v>2000000</v>
      </c>
      <c r="M19" s="212">
        <f t="shared" si="9"/>
        <v>0</v>
      </c>
      <c r="N19" s="212">
        <f t="shared" si="9"/>
        <v>0</v>
      </c>
    </row>
    <row r="20" spans="1:14" ht="12.75" customHeight="1">
      <c r="A20" s="211" t="str">
        <f ca="1">OFFSET(LangBase!A51,0,CURLANGUAGE-1)</f>
        <v>Долгосрочные обязательства</v>
      </c>
      <c r="B20" s="212">
        <f>Данные!C265-B18</f>
        <v>0</v>
      </c>
      <c r="C20" s="212">
        <f>Данные!D265-C18</f>
        <v>0</v>
      </c>
      <c r="D20" s="212">
        <f>Данные!E265-D18</f>
        <v>0</v>
      </c>
      <c r="E20" s="212">
        <f>Данные!F265-E18</f>
        <v>0</v>
      </c>
      <c r="F20" s="212">
        <f>Данные!G265-F18</f>
        <v>0</v>
      </c>
      <c r="G20" s="212">
        <f>Данные!H265-G18</f>
        <v>0</v>
      </c>
      <c r="H20" s="212">
        <f>Данные!I265-H18</f>
        <v>0</v>
      </c>
      <c r="I20" s="212">
        <f>Данные!J265-I18</f>
        <v>0</v>
      </c>
      <c r="J20" s="212">
        <f>Данные!K265-J18</f>
        <v>0</v>
      </c>
      <c r="K20" s="212">
        <f>Данные!L265-K18</f>
        <v>0</v>
      </c>
      <c r="L20" s="212">
        <f>Данные!M265-L18</f>
        <v>0</v>
      </c>
      <c r="M20" s="212">
        <f>Данные!N265-M18</f>
        <v>0</v>
      </c>
      <c r="N20" s="212">
        <f>Данные!O265-N18</f>
        <v>0</v>
      </c>
    </row>
    <row r="21" spans="1:14" ht="12.75" customHeight="1">
      <c r="A21" s="75" t="str">
        <f ca="1">OFFSET(LangBase!A52,0,CURLANGUAGE-1)</f>
        <v>Уставной капитал</v>
      </c>
      <c r="B21" s="76">
        <f>Данные!B82+'Кэш-фло'!B15</f>
        <v>0</v>
      </c>
      <c r="C21" s="76">
        <f>B21+'Кэш-фло'!C15</f>
        <v>0</v>
      </c>
      <c r="D21" s="76">
        <f>C21+'Кэш-фло'!D15</f>
        <v>0</v>
      </c>
      <c r="E21" s="76">
        <f>D21+'Кэш-фло'!E15</f>
        <v>0</v>
      </c>
      <c r="F21" s="76">
        <f>E21+'Кэш-фло'!F15</f>
        <v>0</v>
      </c>
      <c r="G21" s="76">
        <f>F21+'Кэш-фло'!G15</f>
        <v>0</v>
      </c>
      <c r="H21" s="76">
        <f>G21+'Кэш-фло'!H15</f>
        <v>0</v>
      </c>
      <c r="I21" s="76">
        <f>H21+'Кэш-фло'!I15</f>
        <v>0</v>
      </c>
      <c r="J21" s="76">
        <f>I21+'Кэш-фло'!J15</f>
        <v>0</v>
      </c>
      <c r="K21" s="76">
        <f>J21+'Кэш-фло'!K15</f>
        <v>0</v>
      </c>
      <c r="L21" s="76">
        <f>K21+'Кэш-фло'!L15</f>
        <v>0</v>
      </c>
      <c r="M21" s="76">
        <f>L21+'Кэш-фло'!M15</f>
        <v>0</v>
      </c>
      <c r="N21" s="76">
        <f>M21+'Кэш-фло'!N15</f>
        <v>0</v>
      </c>
    </row>
    <row r="22" spans="1:14" ht="12.75" customHeight="1">
      <c r="A22" s="75" t="str">
        <f ca="1">OFFSET(LangBase!A53,0,CURLANGUAGE-1)</f>
        <v>Резервы и фонды</v>
      </c>
      <c r="B22" s="76">
        <f>Данные!B83</f>
        <v>0</v>
      </c>
      <c r="C22" s="76">
        <f>B22</f>
        <v>0</v>
      </c>
      <c r="D22" s="76">
        <f>C22</f>
        <v>0</v>
      </c>
      <c r="E22" s="76">
        <f>D22</f>
        <v>0</v>
      </c>
      <c r="F22" s="76">
        <f>E22</f>
        <v>0</v>
      </c>
      <c r="G22" s="76">
        <f>F22</f>
        <v>0</v>
      </c>
      <c r="H22" s="76">
        <f aca="true" t="shared" si="10" ref="H22:N22">G22</f>
        <v>0</v>
      </c>
      <c r="I22" s="76">
        <f t="shared" si="10"/>
        <v>0</v>
      </c>
      <c r="J22" s="76">
        <f t="shared" si="10"/>
        <v>0</v>
      </c>
      <c r="K22" s="76">
        <f t="shared" si="10"/>
        <v>0</v>
      </c>
      <c r="L22" s="76">
        <f t="shared" si="10"/>
        <v>0</v>
      </c>
      <c r="M22" s="76">
        <f t="shared" si="10"/>
        <v>0</v>
      </c>
      <c r="N22" s="76">
        <f t="shared" si="10"/>
        <v>0</v>
      </c>
    </row>
    <row r="23" spans="1:14" ht="12.75" customHeight="1">
      <c r="A23" s="75" t="str">
        <f ca="1">OFFSET(LangBase!A54,0,CURLANGUAGE-1)</f>
        <v>Нераспределенная прибыль (убыток)</v>
      </c>
      <c r="B23" s="76">
        <f>Данные!B84+Данные!B85+Прибыль!B30-Данные!B70-Данные!B71-'Кэш-фло'!B20</f>
        <v>-95500</v>
      </c>
      <c r="C23" s="76">
        <f>B23+Прибыль!C30-'Кэш-фло'!C20</f>
        <v>-1578000</v>
      </c>
      <c r="D23" s="76">
        <f>C23+Прибыль!D30-'Кэш-фло'!D20</f>
        <v>-3003524.833333333</v>
      </c>
      <c r="E23" s="76">
        <f>D23+Прибыль!E30-'Кэш-фло'!E20</f>
        <v>-3806949.6666666665</v>
      </c>
      <c r="F23" s="76">
        <f>E23+Прибыль!F30-'Кэш-фло'!F20</f>
        <v>-4040374.5</v>
      </c>
      <c r="G23" s="76">
        <f>F23+Прибыль!G30-'Кэш-фло'!G20</f>
        <v>-3300993.8433333333</v>
      </c>
      <c r="H23" s="76">
        <f>G23+Прибыль!H30-'Кэш-фло'!H20</f>
        <v>-2561613.1866666665</v>
      </c>
      <c r="I23" s="76">
        <f>H23+Прибыль!I30-'Кэш-фло'!I20</f>
        <v>-1333432.5299999998</v>
      </c>
      <c r="J23" s="76">
        <f>I23+Прибыль!J30-'Кэш-фло'!J20</f>
        <v>-669251.8733333332</v>
      </c>
      <c r="K23" s="76">
        <f>J23+Прибыль!K30-'Кэш-фло'!K20</f>
        <v>18428.783333333442</v>
      </c>
      <c r="L23" s="76">
        <f>K23+Прибыль!L30-'Кэш-фло'!L20</f>
        <v>1744809.4400000002</v>
      </c>
      <c r="M23" s="76">
        <f>L23+Прибыль!M30-'Кэш-фло'!M20</f>
        <v>4058690.0966666667</v>
      </c>
      <c r="N23" s="76">
        <f>M23+Прибыль!N30-'Кэш-фло'!N20</f>
        <v>6372570.753333334</v>
      </c>
    </row>
    <row r="24" spans="1:14" ht="12.75" customHeight="1">
      <c r="A24" s="211" t="str">
        <f ca="1">OFFSET(LangBase!A55,0,CURLANGUAGE-1)</f>
        <v>Суммарный капитал</v>
      </c>
      <c r="B24" s="212">
        <f aca="true" t="shared" si="11" ref="B24:G24">SUM(B21:B23)</f>
        <v>-95500</v>
      </c>
      <c r="C24" s="212">
        <f t="shared" si="11"/>
        <v>-1578000</v>
      </c>
      <c r="D24" s="212">
        <f t="shared" si="11"/>
        <v>-3003524.833333333</v>
      </c>
      <c r="E24" s="212">
        <f t="shared" si="11"/>
        <v>-3806949.6666666665</v>
      </c>
      <c r="F24" s="212">
        <f t="shared" si="11"/>
        <v>-4040374.5</v>
      </c>
      <c r="G24" s="212">
        <f t="shared" si="11"/>
        <v>-3300993.8433333333</v>
      </c>
      <c r="H24" s="212">
        <f aca="true" t="shared" si="12" ref="H24:N24">SUM(H21:H23)</f>
        <v>-2561613.1866666665</v>
      </c>
      <c r="I24" s="212">
        <f t="shared" si="12"/>
        <v>-1333432.5299999998</v>
      </c>
      <c r="J24" s="212">
        <f t="shared" si="12"/>
        <v>-669251.8733333332</v>
      </c>
      <c r="K24" s="212">
        <f t="shared" si="12"/>
        <v>18428.783333333442</v>
      </c>
      <c r="L24" s="212">
        <f t="shared" si="12"/>
        <v>1744809.4400000002</v>
      </c>
      <c r="M24" s="212">
        <f t="shared" si="12"/>
        <v>4058690.0966666667</v>
      </c>
      <c r="N24" s="212">
        <f t="shared" si="12"/>
        <v>6372570.753333334</v>
      </c>
    </row>
    <row r="25" spans="1:14" ht="12.75" customHeight="1" thickBot="1">
      <c r="A25" s="82" t="str">
        <f ca="1">OFFSET(LangBase!A56,0,CURLANGUAGE-1)</f>
        <v>ИТОГО ОБЯЗАТЕЛЬСТВА И КАПИТАЛ</v>
      </c>
      <c r="B25" s="83">
        <f aca="true" t="shared" si="13" ref="B25:G25">B19+B20+B24</f>
        <v>2904500</v>
      </c>
      <c r="C25" s="83">
        <f t="shared" si="13"/>
        <v>1422000</v>
      </c>
      <c r="D25" s="83">
        <f t="shared" si="13"/>
        <v>-3524.833333333023</v>
      </c>
      <c r="E25" s="83">
        <f t="shared" si="13"/>
        <v>-806949.6666666665</v>
      </c>
      <c r="F25" s="83">
        <f t="shared" si="13"/>
        <v>-1040374.5</v>
      </c>
      <c r="G25" s="83">
        <f t="shared" si="13"/>
        <v>-300993.84333333327</v>
      </c>
      <c r="H25" s="83">
        <f aca="true" t="shared" si="14" ref="H25:N25">H19+H20+H24</f>
        <v>438386.81333333347</v>
      </c>
      <c r="I25" s="83">
        <f t="shared" si="14"/>
        <v>1666567.4700000002</v>
      </c>
      <c r="J25" s="83">
        <f t="shared" si="14"/>
        <v>2330748.126666667</v>
      </c>
      <c r="K25" s="83">
        <f t="shared" si="14"/>
        <v>1018428.7833333334</v>
      </c>
      <c r="L25" s="83">
        <f t="shared" si="14"/>
        <v>744809.4400000002</v>
      </c>
      <c r="M25" s="83">
        <f t="shared" si="14"/>
        <v>1058690.0966666667</v>
      </c>
      <c r="N25" s="83">
        <f t="shared" si="14"/>
        <v>3372570.753333334</v>
      </c>
    </row>
    <row r="26" spans="1:14" ht="12.75" customHeight="1">
      <c r="A26" s="84"/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</sheetData>
  <sheetProtection sheet="1" objects="1" scenarios="1"/>
  <printOptions/>
  <pageMargins left="0.984251968503937" right="0.984251968503937" top="0.984251968503937" bottom="0.984251968503937" header="0.5118110236220472" footer="0.5118110236220472"/>
  <pageSetup horizontalDpi="300" verticalDpi="300" orientation="landscape" paperSize="9"/>
  <headerFooter alignWithMargins="0">
    <oddHeader>&amp;LМастерская бизнес-планирования (tm)&amp;R&amp;"Arial Cyr,курсив\Инвестиционный анализ</oddHeader>
    <oddFooter>&amp;L&amp;D &amp;T&amp;C&amp;F&amp;RСтр.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28"/>
  <sheetViews>
    <sheetView zoomScalePageLayoutView="0" workbookViewId="0" topLeftCell="A1">
      <selection activeCell="F7" sqref="F7"/>
    </sheetView>
  </sheetViews>
  <sheetFormatPr defaultColWidth="9.125" defaultRowHeight="12.75" customHeight="1"/>
  <cols>
    <col min="1" max="1" width="36.75390625" style="89" customWidth="1"/>
    <col min="2" max="14" width="10.75390625" style="89" customWidth="1"/>
    <col min="15" max="16384" width="9.125" style="89" customWidth="1"/>
  </cols>
  <sheetData>
    <row r="1" spans="1:14" s="215" customFormat="1" ht="26.25" customHeight="1" thickBot="1">
      <c r="A1" s="213" t="str">
        <f ca="1">OFFSET(LangBase!A57,0,CURLANGUAGE-1)</f>
        <v>ДВИЖЕНИЕ ДЕНЕЖНЫХ СРЕДСТВ</v>
      </c>
      <c r="B1" s="214" t="str">
        <f>Данные!C124</f>
        <v>11/2001</v>
      </c>
      <c r="C1" s="214" t="str">
        <f>Данные!D124</f>
        <v>12/2001</v>
      </c>
      <c r="D1" s="214" t="str">
        <f>Данные!E124</f>
        <v>1/2002</v>
      </c>
      <c r="E1" s="214" t="str">
        <f>Данные!F124</f>
        <v>2/2002</v>
      </c>
      <c r="F1" s="214" t="str">
        <f>Данные!G124</f>
        <v>3/2002</v>
      </c>
      <c r="G1" s="214" t="str">
        <f>Данные!H124</f>
        <v>4/2002</v>
      </c>
      <c r="H1" s="214" t="str">
        <f>Данные!I124</f>
        <v>5/2002</v>
      </c>
      <c r="I1" s="214" t="str">
        <f>Данные!J124</f>
        <v>6/2002</v>
      </c>
      <c r="J1" s="214" t="str">
        <f>Данные!K124</f>
        <v>7/2002</v>
      </c>
      <c r="K1" s="214" t="str">
        <f>Данные!L124</f>
        <v>8/2002</v>
      </c>
      <c r="L1" s="214" t="str">
        <f>Данные!M124</f>
        <v>9/2002</v>
      </c>
      <c r="M1" s="214" t="str">
        <f>Данные!N124</f>
        <v>10/2002</v>
      </c>
      <c r="N1" s="214" t="str">
        <f>Данные!O124</f>
        <v>11/2002</v>
      </c>
    </row>
    <row r="2" spans="1:14" ht="12.7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2.75" customHeight="1">
      <c r="A3" s="87" t="str">
        <f ca="1">OFFSET(LangBase!A58,0,CURLANGUAGE-1)</f>
        <v>Поступления от продаж</v>
      </c>
      <c r="B3" s="90">
        <f>Inside!E21+Данные!C91</f>
        <v>0</v>
      </c>
      <c r="C3" s="90">
        <f>Inside!F21+Данные!D91</f>
        <v>0</v>
      </c>
      <c r="D3" s="90">
        <f>Inside!G21+Данные!E91</f>
        <v>383000</v>
      </c>
      <c r="E3" s="90">
        <f>Inside!H21+Данные!F91</f>
        <v>963000</v>
      </c>
      <c r="F3" s="90">
        <f>Inside!I21+Данные!G91</f>
        <v>1660000</v>
      </c>
      <c r="G3" s="90">
        <f>Inside!J21+Данные!H91</f>
        <v>2580000</v>
      </c>
      <c r="H3" s="90">
        <f>Inside!K21+Данные!I91</f>
        <v>2880000</v>
      </c>
      <c r="I3" s="90">
        <f>Inside!L21+Данные!J91</f>
        <v>2880000</v>
      </c>
      <c r="J3" s="90">
        <f>Inside!M21+Данные!K91</f>
        <v>2280000</v>
      </c>
      <c r="K3" s="90">
        <f>Inside!N21+Данные!L91</f>
        <v>2280000</v>
      </c>
      <c r="L3" s="90">
        <f>Inside!O21+Данные!M91</f>
        <v>3480000</v>
      </c>
      <c r="M3" s="90">
        <f>Inside!P21+Данные!N91</f>
        <v>4080000</v>
      </c>
      <c r="N3" s="90">
        <f>Inside!Q21+Данные!O91</f>
        <v>4080000</v>
      </c>
    </row>
    <row r="4" spans="1:14" ht="12.75" customHeight="1">
      <c r="A4" s="87" t="str">
        <f ca="1">OFFSET(LangBase!A59,0,CURLANGUAGE-1)</f>
        <v>Затраты на материалы и комплектующие</v>
      </c>
      <c r="B4" s="90">
        <f>Inside!E58+Данные!C92</f>
        <v>0</v>
      </c>
      <c r="C4" s="90">
        <f>Inside!F58+Данные!D92</f>
        <v>0</v>
      </c>
      <c r="D4" s="90">
        <f>Inside!G58+Данные!E92</f>
        <v>0</v>
      </c>
      <c r="E4" s="90">
        <f>Inside!H58+Данные!F92</f>
        <v>0</v>
      </c>
      <c r="F4" s="90">
        <f>Inside!I58+Данные!G92</f>
        <v>0</v>
      </c>
      <c r="G4" s="90">
        <f>Inside!J58+Данные!H92</f>
        <v>0</v>
      </c>
      <c r="H4" s="90">
        <f>Inside!K58+Данные!I92</f>
        <v>0</v>
      </c>
      <c r="I4" s="90">
        <f>Inside!L58+Данные!J92</f>
        <v>0</v>
      </c>
      <c r="J4" s="90">
        <f>Inside!M58+Данные!K92</f>
        <v>0</v>
      </c>
      <c r="K4" s="90">
        <f>Inside!N58+Данные!L92</f>
        <v>0</v>
      </c>
      <c r="L4" s="90">
        <f>Inside!O58+Данные!M92</f>
        <v>0</v>
      </c>
      <c r="M4" s="90">
        <f>Inside!P58+Данные!N92</f>
        <v>0</v>
      </c>
      <c r="N4" s="90">
        <f>Inside!Q58+Данные!O92</f>
        <v>0</v>
      </c>
    </row>
    <row r="5" spans="1:14" ht="12.75" customHeight="1">
      <c r="A5" s="87" t="str">
        <f ca="1">OFFSET(LangBase!A60,0,CURLANGUAGE-1)</f>
        <v>Постоянные издержки</v>
      </c>
      <c r="B5" s="90">
        <f>Прибыль!B14+Inside!E311+Inside!E321+Inside!E335</f>
        <v>118000</v>
      </c>
      <c r="C5" s="90">
        <f>Прибыль!C14+Inside!F311+Inside!F321+Inside!F335</f>
        <v>1595000</v>
      </c>
      <c r="D5" s="90">
        <f>Прибыль!D14+Inside!G311+Inside!G321+Inside!G335</f>
        <v>1265000</v>
      </c>
      <c r="E5" s="90">
        <f>Прибыль!E14+Inside!H311+Inside!H321+Inside!H335</f>
        <v>645000</v>
      </c>
      <c r="F5" s="90">
        <f>Прибыль!F14+Inside!I311+Inside!I321+Inside!I335</f>
        <v>695000</v>
      </c>
      <c r="G5" s="90">
        <f>Прибыль!G14+Inside!J311+Inside!J321+Inside!J335</f>
        <v>595000</v>
      </c>
      <c r="H5" s="90">
        <f>Прибыль!H14+Inside!K311+Inside!K321+Inside!K335</f>
        <v>895000</v>
      </c>
      <c r="I5" s="90">
        <f>Прибыль!I14+Inside!L311+Inside!L321+Inside!L335</f>
        <v>375000</v>
      </c>
      <c r="J5" s="90">
        <f>Прибыль!J14+Inside!M311+Inside!M321+Inside!M335</f>
        <v>375000</v>
      </c>
      <c r="K5" s="90">
        <f>Прибыль!K14+Inside!N311+Inside!N321+Inside!N335</f>
        <v>375000</v>
      </c>
      <c r="L5" s="90">
        <f>Прибыль!L14+Inside!O311+Inside!O321+Inside!O335</f>
        <v>495000</v>
      </c>
      <c r="M5" s="90">
        <f>Прибыль!M14+Inside!P311+Inside!P321+Inside!P335</f>
        <v>495000</v>
      </c>
      <c r="N5" s="90">
        <f>Прибыль!N14+Inside!Q311+Inside!Q321+Inside!Q335</f>
        <v>495000</v>
      </c>
    </row>
    <row r="6" spans="1:14" ht="12.75" customHeight="1">
      <c r="A6" s="87" t="str">
        <f ca="1">OFFSET(LangBase!A61,0,CURLANGUAGE-1)</f>
        <v>Зарплата и социальные взносы</v>
      </c>
      <c r="B6" s="90">
        <f>Прибыль!B9+Производство!B28*(1+Данные!$B$32)</f>
        <v>0</v>
      </c>
      <c r="C6" s="90">
        <f>Прибыль!C9+Производство!C28*(1+Данные!$B$32)</f>
        <v>0</v>
      </c>
      <c r="D6" s="90">
        <f>Прибыль!D9+Производство!D28*(1+Данные!$B$32)</f>
        <v>525525</v>
      </c>
      <c r="E6" s="90">
        <f>Прибыль!E9+Производство!E28*(1+Данные!$B$32)</f>
        <v>1153425</v>
      </c>
      <c r="F6" s="90">
        <f>Прибыль!F9+Производство!F28*(1+Данные!$B$32)</f>
        <v>1153425</v>
      </c>
      <c r="G6" s="90">
        <f>Прибыль!G9+Производство!G28*(1+Данные!$B$32)</f>
        <v>1153425</v>
      </c>
      <c r="H6" s="90">
        <f>Прибыль!H9+Производство!H28*(1+Данные!$B$32)</f>
        <v>1153425</v>
      </c>
      <c r="I6" s="90">
        <f>Прибыль!I9+Производство!I28*(1+Данные!$B$32)</f>
        <v>1153425</v>
      </c>
      <c r="J6" s="90">
        <f>Прибыль!J9+Производство!J28*(1+Данные!$B$32)</f>
        <v>1153425</v>
      </c>
      <c r="K6" s="90">
        <f>Прибыль!K9+Производство!K28*(1+Данные!$B$32)</f>
        <v>1153425</v>
      </c>
      <c r="L6" s="90">
        <f>Прибыль!L9+Производство!L28*(1+Данные!$B$32)</f>
        <v>1153425</v>
      </c>
      <c r="M6" s="90">
        <f>Прибыль!M9+Производство!M28*(1+Данные!$B$32)</f>
        <v>1153425</v>
      </c>
      <c r="N6" s="90">
        <f>Прибыль!N9+Производство!N28*(1+Данные!$B$32)</f>
        <v>1153425</v>
      </c>
    </row>
    <row r="7" spans="1:14" ht="12.75" customHeight="1">
      <c r="A7" s="87" t="str">
        <f ca="1">OFFSET(LangBase!A62,0,CURLANGUAGE-1)</f>
        <v>Налоги</v>
      </c>
      <c r="B7" s="90">
        <f>Inside!E4+Прибыль!B29+Прибыль!B6+Прибыль!B8</f>
        <v>0</v>
      </c>
      <c r="C7" s="90">
        <f>Inside!F4+Прибыль!C29+Прибыль!C6+Прибыль!C8</f>
        <v>0</v>
      </c>
      <c r="D7" s="90">
        <f>Inside!G4+Прибыль!D29+Прибыль!D6+Прибыль!D8</f>
        <v>0</v>
      </c>
      <c r="E7" s="90">
        <f>Inside!H4+Прибыль!E29+Прибыль!E6+Прибыль!E8</f>
        <v>0</v>
      </c>
      <c r="F7" s="90">
        <f>Inside!I4+Прибыль!F29+Прибыль!F6+Прибыль!F8</f>
        <v>0</v>
      </c>
      <c r="G7" s="90">
        <f>Inside!J4+Прибыль!G29+Прибыль!G6+Прибыль!G8</f>
        <v>47194.509999999995</v>
      </c>
      <c r="H7" s="90">
        <f>Inside!K4+Прибыль!H29+Прибыль!H6+Прибыль!H8</f>
        <v>47194.509999999995</v>
      </c>
      <c r="I7" s="90">
        <f>Inside!L4+Прибыль!I29+Прибыль!I6+Прибыль!I8</f>
        <v>78394.51</v>
      </c>
      <c r="J7" s="90">
        <f>Inside!M4+Прибыль!J29+Прибыль!J6+Прибыль!J8</f>
        <v>42394.509999999995</v>
      </c>
      <c r="K7" s="90">
        <f>Inside!N4+Прибыль!K29+Прибыль!K6+Прибыль!K8</f>
        <v>43894.509999999995</v>
      </c>
      <c r="L7" s="90">
        <f>Inside!O4+Прибыль!L29+Прибыль!L6+Прибыль!L8</f>
        <v>110194.51</v>
      </c>
      <c r="M7" s="90">
        <f>Inside!P4+Прибыль!M29+Прибыль!M6+Прибыль!M8</f>
        <v>147694.50999999998</v>
      </c>
      <c r="N7" s="90">
        <f>Inside!Q4+Прибыль!N29+Прибыль!N6+Прибыль!N8</f>
        <v>147694.50999999998</v>
      </c>
    </row>
    <row r="8" spans="1:14" ht="12.75" customHeight="1">
      <c r="A8" s="216" t="str">
        <f ca="1">OFFSET(LangBase!A63,0,CURLANGUAGE-1)</f>
        <v>Кэш-фло от операционной деятельности</v>
      </c>
      <c r="B8" s="217">
        <f aca="true" t="shared" si="0" ref="B8:G8">B3-B4-B5-B6-B7</f>
        <v>-58000</v>
      </c>
      <c r="C8" s="217">
        <f t="shared" si="0"/>
        <v>-1445000</v>
      </c>
      <c r="D8" s="217">
        <f t="shared" si="0"/>
        <v>-1407525</v>
      </c>
      <c r="E8" s="217">
        <f t="shared" si="0"/>
        <v>-785425</v>
      </c>
      <c r="F8" s="217">
        <f t="shared" si="0"/>
        <v>-188425</v>
      </c>
      <c r="G8" s="217">
        <f t="shared" si="0"/>
        <v>784380.49</v>
      </c>
      <c r="H8" s="217">
        <f aca="true" t="shared" si="1" ref="H8:N8">H3-H4-H5-H6-H7</f>
        <v>784380.49</v>
      </c>
      <c r="I8" s="217">
        <f t="shared" si="1"/>
        <v>1273180.49</v>
      </c>
      <c r="J8" s="217">
        <f t="shared" si="1"/>
        <v>709180.49</v>
      </c>
      <c r="K8" s="217">
        <f t="shared" si="1"/>
        <v>707680.49</v>
      </c>
      <c r="L8" s="217">
        <f t="shared" si="1"/>
        <v>1721380.49</v>
      </c>
      <c r="M8" s="217">
        <f t="shared" si="1"/>
        <v>2283880.49</v>
      </c>
      <c r="N8" s="217">
        <f t="shared" si="1"/>
        <v>2283880.49</v>
      </c>
    </row>
    <row r="9" spans="1:14" ht="12.75" customHeight="1">
      <c r="A9" s="91" t="str">
        <f ca="1">OFFSET(LangBase!A64,0,CURLANGUAGE-1)</f>
        <v> 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12.75" customHeight="1">
      <c r="A10" s="91" t="str">
        <f ca="1">OFFSET(LangBase!A65,0,CURLANGUAGE-1)</f>
        <v>Приобретение основных средств</v>
      </c>
      <c r="B10" s="92">
        <f>Inside!E83+Inside!E89+Inside!E93+Inside!E100+Inside!E106+Inside!E109+Inside!E115+Inside!E119+Inside!E126+Inside!E132-Inside!E239-Inside!E245-Inside!E249-Inside!E256-Inside!E262</f>
        <v>0</v>
      </c>
      <c r="C10" s="92">
        <f>Inside!F83+Inside!F89+Inside!F93+Inside!F100+Inside!F106+Inside!F109+Inside!F115+Inside!F119+Inside!F126+Inside!F132-Inside!F239-Inside!F245-Inside!F249-Inside!F256-Inside!F262</f>
        <v>410000</v>
      </c>
      <c r="D10" s="92">
        <f>Inside!G83+Inside!G89+Inside!G93+Inside!G100+Inside!G106+Inside!G109+Inside!G115+Inside!G119+Inside!G126+Inside!G132-Inside!G239-Inside!G245-Inside!G249-Inside!G256-Inside!G262</f>
        <v>0</v>
      </c>
      <c r="E10" s="92">
        <f>Inside!H83+Inside!H89+Inside!H93+Inside!H100+Inside!H106+Inside!H109+Inside!H115+Inside!H119+Inside!H126+Inside!H132-Inside!H239-Inside!H245-Inside!H249-Inside!H256-Inside!H262</f>
        <v>0</v>
      </c>
      <c r="F10" s="92">
        <f>Inside!I83+Inside!I89+Inside!I93+Inside!I100+Inside!I106+Inside!I109+Inside!I115+Inside!I119+Inside!I126+Inside!I132-Inside!I239-Inside!I245-Inside!I249-Inside!I256-Inside!I262</f>
        <v>0</v>
      </c>
      <c r="G10" s="92">
        <f>Inside!J83+Inside!J89+Inside!J93+Inside!J100+Inside!J106+Inside!J109+Inside!J115+Inside!J119+Inside!J126+Inside!J132-Inside!J239-Inside!J245-Inside!J249-Inside!J256-Inside!J262</f>
        <v>0</v>
      </c>
      <c r="H10" s="92">
        <f>Inside!K83+Inside!K89+Inside!K93+Inside!K100+Inside!K106+Inside!K109+Inside!K115+Inside!K119+Inside!K126+Inside!K132-Inside!K239-Inside!K245-Inside!K249-Inside!K256-Inside!K262</f>
        <v>0</v>
      </c>
      <c r="I10" s="92">
        <f>Inside!L83+Inside!L89+Inside!L93+Inside!L100+Inside!L106+Inside!L109+Inside!L115+Inside!L119+Inside!L126+Inside!L132-Inside!L239-Inside!L245-Inside!L249-Inside!L256-Inside!L262</f>
        <v>0</v>
      </c>
      <c r="J10" s="92">
        <f>Inside!M83+Inside!M89+Inside!M93+Inside!M100+Inside!M106+Inside!M109+Inside!M115+Inside!M119+Inside!M126+Inside!M132-Inside!M239-Inside!M245-Inside!M249-Inside!M256-Inside!M262</f>
        <v>0</v>
      </c>
      <c r="K10" s="92">
        <f>Inside!N83+Inside!N89+Inside!N93+Inside!N100+Inside!N106+Inside!N109+Inside!N115+Inside!N119+Inside!N126+Inside!N132-Inside!N239-Inside!N245-Inside!N249-Inside!N256-Inside!N262</f>
        <v>0</v>
      </c>
      <c r="L10" s="92">
        <f>Inside!O83+Inside!O89+Inside!O93+Inside!O100+Inside!O106+Inside!O109+Inside!O115+Inside!O119+Inside!O126+Inside!O132-Inside!O239-Inside!O245-Inside!O249-Inside!O256-Inside!O262</f>
        <v>0</v>
      </c>
      <c r="M10" s="92">
        <f>Inside!P83+Inside!P89+Inside!P93+Inside!P100+Inside!P106+Inside!P109+Inside!P115+Inside!P119+Inside!P126+Inside!P132-Inside!P239-Inside!P245-Inside!P249-Inside!P256-Inside!P262</f>
        <v>0</v>
      </c>
      <c r="N10" s="92">
        <f>Inside!Q83+Inside!Q89+Inside!Q93+Inside!Q100+Inside!Q106+Inside!Q109+Inside!Q115+Inside!Q119+Inside!Q126+Inside!Q132-Inside!Q239-Inside!Q245-Inside!Q249-Inside!Q256-Inside!Q262</f>
        <v>0</v>
      </c>
    </row>
    <row r="11" spans="1:14" ht="12.75" customHeight="1">
      <c r="A11" s="91" t="str">
        <f ca="1">OFFSET(LangBase!A66,0,CURLANGUAGE-1)</f>
        <v>Строительство</v>
      </c>
      <c r="B11" s="92">
        <f>Inside!E239+Inside!E245+Inside!E249+Inside!E256+Inside!E262</f>
        <v>0</v>
      </c>
      <c r="C11" s="92">
        <f>Inside!F239+Inside!F245+Inside!F249+Inside!F256+Inside!F262</f>
        <v>0</v>
      </c>
      <c r="D11" s="92">
        <f>Inside!G239+Inside!G245+Inside!G249+Inside!G256+Inside!G262</f>
        <v>0</v>
      </c>
      <c r="E11" s="92">
        <f>Inside!H239+Inside!H245+Inside!H249+Inside!H256+Inside!H262</f>
        <v>0</v>
      </c>
      <c r="F11" s="92">
        <f>Inside!I239+Inside!I245+Inside!I249+Inside!I256+Inside!I262</f>
        <v>0</v>
      </c>
      <c r="G11" s="92">
        <f>Inside!J239+Inside!J245+Inside!J249+Inside!J256+Inside!J262</f>
        <v>0</v>
      </c>
      <c r="H11" s="92">
        <f>Inside!K239+Inside!K245+Inside!K249+Inside!K256+Inside!K262</f>
        <v>0</v>
      </c>
      <c r="I11" s="92">
        <f>Inside!L239+Inside!L245+Inside!L249+Inside!L256+Inside!L262</f>
        <v>0</v>
      </c>
      <c r="J11" s="92">
        <f>Inside!M239+Inside!M245+Inside!M249+Inside!M256+Inside!M262</f>
        <v>0</v>
      </c>
      <c r="K11" s="92">
        <f>Inside!N239+Inside!N245+Inside!N249+Inside!N256+Inside!N262</f>
        <v>0</v>
      </c>
      <c r="L11" s="92">
        <f>Inside!O239+Inside!O245+Inside!O249+Inside!O256+Inside!O262</f>
        <v>0</v>
      </c>
      <c r="M11" s="92">
        <f>Inside!P239+Inside!P245+Inside!P249+Inside!P256+Inside!P262</f>
        <v>0</v>
      </c>
      <c r="N11" s="92">
        <f>Inside!Q239+Inside!Q245+Inside!Q249+Inside!Q256+Inside!Q262</f>
        <v>0</v>
      </c>
    </row>
    <row r="12" spans="1:14" ht="12.75" customHeight="1">
      <c r="A12" s="91" t="str">
        <f ca="1">OFFSET(LangBase!A67,0,CURLANGUAGE-1)</f>
        <v>Прочие капиталовложения</v>
      </c>
      <c r="B12" s="92">
        <f>Данные!C120</f>
        <v>0</v>
      </c>
      <c r="C12" s="92">
        <f>Данные!D120</f>
        <v>0</v>
      </c>
      <c r="D12" s="92">
        <f>Данные!E120</f>
        <v>0</v>
      </c>
      <c r="E12" s="92">
        <f>Данные!F120</f>
        <v>0</v>
      </c>
      <c r="F12" s="92">
        <f>Данные!G120</f>
        <v>0</v>
      </c>
      <c r="G12" s="92">
        <f>Данные!H120</f>
        <v>0</v>
      </c>
      <c r="H12" s="92">
        <f>Данные!I120</f>
        <v>0</v>
      </c>
      <c r="I12" s="92">
        <f>Данные!J120</f>
        <v>0</v>
      </c>
      <c r="J12" s="92">
        <f>Данные!K120</f>
        <v>0</v>
      </c>
      <c r="K12" s="92">
        <f>Данные!L120</f>
        <v>0</v>
      </c>
      <c r="L12" s="92">
        <f>Данные!M120</f>
        <v>0</v>
      </c>
      <c r="M12" s="92">
        <f>Данные!N120</f>
        <v>0</v>
      </c>
      <c r="N12" s="92">
        <f>Данные!O120</f>
        <v>0</v>
      </c>
    </row>
    <row r="13" spans="1:14" ht="12.75" customHeight="1">
      <c r="A13" s="216" t="str">
        <f ca="1">OFFSET(LangBase!A68,0,CURLANGUAGE-1)</f>
        <v>Кэш-фло от инвестиционной деятельности</v>
      </c>
      <c r="B13" s="217">
        <f aca="true" t="shared" si="2" ref="B13:G13">-B10-B11-B12</f>
        <v>0</v>
      </c>
      <c r="C13" s="217">
        <f t="shared" si="2"/>
        <v>-410000</v>
      </c>
      <c r="D13" s="217">
        <f t="shared" si="2"/>
        <v>0</v>
      </c>
      <c r="E13" s="217">
        <f t="shared" si="2"/>
        <v>0</v>
      </c>
      <c r="F13" s="217">
        <f t="shared" si="2"/>
        <v>0</v>
      </c>
      <c r="G13" s="217">
        <f t="shared" si="2"/>
        <v>0</v>
      </c>
      <c r="H13" s="217">
        <f aca="true" t="shared" si="3" ref="H13:N13">-H10-H11-H12</f>
        <v>0</v>
      </c>
      <c r="I13" s="217">
        <f t="shared" si="3"/>
        <v>0</v>
      </c>
      <c r="J13" s="217">
        <f t="shared" si="3"/>
        <v>0</v>
      </c>
      <c r="K13" s="217">
        <f t="shared" si="3"/>
        <v>0</v>
      </c>
      <c r="L13" s="217">
        <f t="shared" si="3"/>
        <v>0</v>
      </c>
      <c r="M13" s="217">
        <f t="shared" si="3"/>
        <v>0</v>
      </c>
      <c r="N13" s="217">
        <f t="shared" si="3"/>
        <v>0</v>
      </c>
    </row>
    <row r="14" spans="1:14" ht="12.75" customHeight="1">
      <c r="A14" s="91" t="str">
        <f ca="1">OFFSET(LangBase!A69,0,CURLANGUAGE-1)</f>
        <v> 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</row>
    <row r="15" spans="1:14" ht="12.75" customHeight="1">
      <c r="A15" s="91" t="str">
        <f ca="1">OFFSET(LangBase!A70,0,CURLANGUAGE-1)</f>
        <v>Акционерный капитал</v>
      </c>
      <c r="B15" s="92">
        <f>SUM(Данные!B268:B268)</f>
        <v>0</v>
      </c>
      <c r="C15" s="92">
        <f>0</f>
        <v>0</v>
      </c>
      <c r="D15" s="92">
        <f>0</f>
        <v>0</v>
      </c>
      <c r="E15" s="92">
        <f>0</f>
        <v>0</v>
      </c>
      <c r="F15" s="92">
        <f>0</f>
        <v>0</v>
      </c>
      <c r="G15" s="92">
        <f>0</f>
        <v>0</v>
      </c>
      <c r="H15" s="92">
        <f>0</f>
        <v>0</v>
      </c>
      <c r="I15" s="92">
        <f>0</f>
        <v>0</v>
      </c>
      <c r="J15" s="92">
        <f>0</f>
        <v>0</v>
      </c>
      <c r="K15" s="92">
        <f>0</f>
        <v>0</v>
      </c>
      <c r="L15" s="92">
        <f>0</f>
        <v>0</v>
      </c>
      <c r="M15" s="92">
        <f>0</f>
        <v>0</v>
      </c>
      <c r="N15" s="92">
        <f>0</f>
        <v>0</v>
      </c>
    </row>
    <row r="16" spans="1:14" ht="12.75" customHeight="1">
      <c r="A16" s="91" t="str">
        <f ca="1">OFFSET(LangBase!A71,0,CURLANGUAGE-1)</f>
        <v>Поступления заемных средств</v>
      </c>
      <c r="B16" s="92">
        <f>Данные!C263</f>
        <v>3000000</v>
      </c>
      <c r="C16" s="92">
        <f>Данные!D263</f>
        <v>0</v>
      </c>
      <c r="D16" s="92">
        <f>Данные!E263</f>
        <v>3000000</v>
      </c>
      <c r="E16" s="92">
        <f>Данные!F263</f>
        <v>0</v>
      </c>
      <c r="F16" s="92">
        <f>Данные!G263</f>
        <v>0</v>
      </c>
      <c r="G16" s="92">
        <f>Данные!H263</f>
        <v>0</v>
      </c>
      <c r="H16" s="92">
        <f>Данные!I263</f>
        <v>0</v>
      </c>
      <c r="I16" s="92">
        <f>Данные!J263</f>
        <v>0</v>
      </c>
      <c r="J16" s="92">
        <f>Данные!K263</f>
        <v>0</v>
      </c>
      <c r="K16" s="92">
        <f>Данные!L263</f>
        <v>0</v>
      </c>
      <c r="L16" s="92">
        <f>Данные!M263</f>
        <v>0</v>
      </c>
      <c r="M16" s="92">
        <f>Данные!N263</f>
        <v>0</v>
      </c>
      <c r="N16" s="92">
        <f>Данные!O263</f>
        <v>0</v>
      </c>
    </row>
    <row r="17" spans="1:14" ht="12.75" customHeight="1">
      <c r="A17" s="91" t="str">
        <f ca="1">OFFSET(LangBase!A72,0,CURLANGUAGE-1)</f>
        <v>Возврат займов</v>
      </c>
      <c r="B17" s="92">
        <f>Данные!C264</f>
        <v>0</v>
      </c>
      <c r="C17" s="92">
        <f>Данные!D264</f>
        <v>0</v>
      </c>
      <c r="D17" s="92">
        <f>Данные!E264</f>
        <v>0</v>
      </c>
      <c r="E17" s="92">
        <f>Данные!F264</f>
        <v>0</v>
      </c>
      <c r="F17" s="92">
        <f>Данные!G264</f>
        <v>0</v>
      </c>
      <c r="G17" s="92">
        <f>Данные!H264</f>
        <v>0</v>
      </c>
      <c r="H17" s="92">
        <f>Данные!I264</f>
        <v>0</v>
      </c>
      <c r="I17" s="92">
        <f>Данные!J264</f>
        <v>0</v>
      </c>
      <c r="J17" s="92">
        <f>Данные!K264</f>
        <v>0</v>
      </c>
      <c r="K17" s="92">
        <f>Данные!L264</f>
        <v>2000000</v>
      </c>
      <c r="L17" s="92">
        <f>Данные!M264</f>
        <v>2000000</v>
      </c>
      <c r="M17" s="92">
        <f>Данные!N264</f>
        <v>2000000</v>
      </c>
      <c r="N17" s="92">
        <f>Данные!O264</f>
        <v>0</v>
      </c>
    </row>
    <row r="18" spans="1:14" ht="12.75" customHeight="1">
      <c r="A18" s="91" t="str">
        <f ca="1">OFFSET(LangBase!A73,0,CURLANGUAGE-1)</f>
        <v>Расходы по процентам</v>
      </c>
      <c r="B18" s="92">
        <f>Данные!C262</f>
        <v>37500</v>
      </c>
      <c r="C18" s="92">
        <f>Данные!D262</f>
        <v>37500</v>
      </c>
      <c r="D18" s="92">
        <f>Данные!E262</f>
        <v>75000</v>
      </c>
      <c r="E18" s="92">
        <f>Данные!F262</f>
        <v>75000</v>
      </c>
      <c r="F18" s="92">
        <f>Данные!G262</f>
        <v>75000</v>
      </c>
      <c r="G18" s="92">
        <f>Данные!H262</f>
        <v>75000</v>
      </c>
      <c r="H18" s="92">
        <f>Данные!I262</f>
        <v>75000</v>
      </c>
      <c r="I18" s="92">
        <f>Данные!J262</f>
        <v>75000</v>
      </c>
      <c r="J18" s="92">
        <f>Данные!K262</f>
        <v>75000</v>
      </c>
      <c r="K18" s="92">
        <f>Данные!L262</f>
        <v>49999.99999999999</v>
      </c>
      <c r="L18" s="92">
        <f>Данные!M262</f>
        <v>24999.999999999996</v>
      </c>
      <c r="M18" s="92">
        <f>Данные!N262</f>
        <v>0</v>
      </c>
      <c r="N18" s="92">
        <f>Данные!O262</f>
        <v>0</v>
      </c>
    </row>
    <row r="19" spans="1:14" ht="12.75" customHeight="1">
      <c r="A19" s="91" t="str">
        <f ca="1">OFFSET(LangBase!A74,0,CURLANGUAGE-1)</f>
        <v>Лизинговые платежи</v>
      </c>
      <c r="B19" s="92">
        <f>Данные!C281</f>
        <v>0</v>
      </c>
      <c r="C19" s="92">
        <f>Данные!D281</f>
        <v>0</v>
      </c>
      <c r="D19" s="92">
        <f>Данные!E281</f>
        <v>0</v>
      </c>
      <c r="E19" s="92">
        <f>Данные!F281</f>
        <v>0</v>
      </c>
      <c r="F19" s="92">
        <f>Данные!G281</f>
        <v>0</v>
      </c>
      <c r="G19" s="92">
        <f>Данные!H281</f>
        <v>0</v>
      </c>
      <c r="H19" s="92">
        <f>Данные!I281</f>
        <v>0</v>
      </c>
      <c r="I19" s="92">
        <f>Данные!J281</f>
        <v>0</v>
      </c>
      <c r="J19" s="92">
        <f>Данные!K281</f>
        <v>0</v>
      </c>
      <c r="K19" s="92">
        <f>Данные!L281</f>
        <v>0</v>
      </c>
      <c r="L19" s="92">
        <f>Данные!M281</f>
        <v>0</v>
      </c>
      <c r="M19" s="92">
        <f>Данные!N281</f>
        <v>0</v>
      </c>
      <c r="N19" s="92">
        <f>Данные!O281</f>
        <v>0</v>
      </c>
    </row>
    <row r="20" spans="1:14" ht="12.75" customHeight="1">
      <c r="A20" s="91" t="str">
        <f ca="1">OFFSET(LangBase!A75,0,CURLANGUAGE-1)</f>
        <v>Выплата дивидендов</v>
      </c>
      <c r="B20" s="92">
        <f>IF(AND((B24+B8+B13+B15+B16-B17-B18-B19)&gt;0,Прибыль!B30&gt;0),MIN(Прибыль!B30*DIVIDEND_SHARE,B24+B8+B13+B15+B16-B17-B18-B19),0)</f>
        <v>0</v>
      </c>
      <c r="C20" s="92">
        <f>IF(AND((C24+C8+C13+C15+C16-C17-C18-C19)&gt;0,Прибыль!C30&gt;0),MIN(Прибыль!C30*DIVIDEND_SHARE,C24+C8+C13+C15+C16-C17-C18-C19),0)</f>
        <v>0</v>
      </c>
      <c r="D20" s="92">
        <f>IF(AND((D24+D8+D13+D15+D16-D17-D18-D19)&gt;0,Прибыль!D30&gt;0),MIN(Прибыль!D30*DIVIDEND_SHARE,D24+D8+D13+D15+D16-D17-D18-D19),0)</f>
        <v>0</v>
      </c>
      <c r="E20" s="92">
        <f>IF(AND((E24+E8+E13+E15+E16-E17-E18-E19)&gt;0,Прибыль!E30&gt;0),MIN(Прибыль!E30*DIVIDEND_SHARE,E24+E8+E13+E15+E16-E17-E18-E19),0)</f>
        <v>0</v>
      </c>
      <c r="F20" s="92">
        <f>IF(AND((F24+F8+F13+F15+F16-F17-F18-F19)&gt;0,Прибыль!F30&gt;0),MIN(Прибыль!F30*DIVIDEND_SHARE,F24+F8+F13+F15+F16-F17-F18-F19),0)</f>
        <v>0</v>
      </c>
      <c r="G20" s="92">
        <f>IF(AND((G24+G8+G13+G15+G16-G17-G18-G19)&gt;0,Прибыль!G30&gt;0),MIN(Прибыль!G30*DIVIDEND_SHARE,G24+G8+G13+G15+G16-G17-G18-G19),0)</f>
        <v>0</v>
      </c>
      <c r="H20" s="92">
        <f>IF(AND((H24+H8+H13+H15+H16-H17-H18-H19)&gt;0,Прибыль!H30&gt;0),MIN(Прибыль!H30*DIVIDEND_SHARE,H24+H8+H13+H15+H16-H17-H18-H19),0)</f>
        <v>0</v>
      </c>
      <c r="I20" s="92">
        <f>IF(AND((I24+I8+I13+I15+I16-I17-I18-I19)&gt;0,Прибыль!I30&gt;0),MIN(Прибыль!I30*DIVIDEND_SHARE,I24+I8+I13+I15+I16-I17-I18-I19),0)</f>
        <v>0</v>
      </c>
      <c r="J20" s="92">
        <f>IF(AND((J24+J8+J13+J15+J16-J17-J18-J19)&gt;0,Прибыль!J30&gt;0),MIN(Прибыль!J30*DIVIDEND_SHARE,J24+J8+J13+J15+J16-J17-J18-J19),0)</f>
        <v>0</v>
      </c>
      <c r="K20" s="92">
        <f>IF(AND((K24+K8+K13+K15+K16-K17-K18-K19)&gt;0,Прибыль!K30&gt;0),MIN(Прибыль!K30*DIVIDEND_SHARE,K24+K8+K13+K15+K16-K17-K18-K19),0)</f>
        <v>0</v>
      </c>
      <c r="L20" s="92">
        <f>IF(AND((L24+L8+L13+L15+L16-L17-L18-L19)&gt;0,Прибыль!L30&gt;0),MIN(Прибыль!L30*DIVIDEND_SHARE,L24+L8+L13+L15+L16-L17-L18-L19),0)</f>
        <v>0</v>
      </c>
      <c r="M20" s="92">
        <f>IF(AND((M24+M8+M13+M15+M16-M17-M18-M19)&gt;0,Прибыль!M30&gt;0),MIN(Прибыль!M30*DIVIDEND_SHARE,M24+M8+M13+M15+M16-M17-M18-M19),0)</f>
        <v>0</v>
      </c>
      <c r="N20" s="92">
        <f>IF(AND((N24+N8+N13+N15+N16-N17-N18-N19)&gt;0,Прибыль!N30&gt;0),MIN(Прибыль!N30*DIVIDEND_SHARE,N24+N8+N13+N15+N16-N17-N18-N19),0)</f>
        <v>0</v>
      </c>
    </row>
    <row r="21" spans="1:14" ht="12.75" customHeight="1">
      <c r="A21" s="216" t="str">
        <f ca="1">OFFSET(LangBase!A76,0,CURLANGUAGE-1)</f>
        <v>Кэш-фло от финансовой деятельности</v>
      </c>
      <c r="B21" s="217">
        <f aca="true" t="shared" si="4" ref="B21:G21">B15+B16-B17-B18-B19-B20</f>
        <v>2962500</v>
      </c>
      <c r="C21" s="217">
        <f t="shared" si="4"/>
        <v>-37500</v>
      </c>
      <c r="D21" s="217">
        <f t="shared" si="4"/>
        <v>-37500</v>
      </c>
      <c r="E21" s="217">
        <f t="shared" si="4"/>
        <v>-37500</v>
      </c>
      <c r="F21" s="217">
        <f t="shared" si="4"/>
        <v>-37500</v>
      </c>
      <c r="G21" s="217">
        <f t="shared" si="4"/>
        <v>-37500</v>
      </c>
      <c r="H21" s="217">
        <f aca="true" t="shared" si="5" ref="H21:N21">H15+H16-H17-H18-H19-H20</f>
        <v>-37500</v>
      </c>
      <c r="I21" s="217">
        <f t="shared" si="5"/>
        <v>-37500</v>
      </c>
      <c r="J21" s="217">
        <f t="shared" si="5"/>
        <v>-37500</v>
      </c>
      <c r="K21" s="217">
        <f t="shared" si="5"/>
        <v>-2012500</v>
      </c>
      <c r="L21" s="217">
        <f t="shared" si="5"/>
        <v>-1987500</v>
      </c>
      <c r="M21" s="217">
        <f t="shared" si="5"/>
        <v>-1962500</v>
      </c>
      <c r="N21" s="217">
        <f t="shared" si="5"/>
        <v>37500</v>
      </c>
    </row>
    <row r="22" spans="1:14" ht="12.75" customHeight="1">
      <c r="A22" s="91" t="str">
        <f ca="1">OFFSET(LangBase!A77,0,CURLANGUAGE-1)</f>
        <v> 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1:14" ht="12.75" customHeight="1">
      <c r="A23" s="93" t="str">
        <f ca="1">OFFSET(LangBase!A78,0,CURLANGUAGE-1)</f>
        <v>СУММАРНЫЙ ДЕНЕЖНЫЙ ПОТОК</v>
      </c>
      <c r="B23" s="94">
        <f aca="true" t="shared" si="6" ref="B23:G23">B8+B13+B21</f>
        <v>2904500</v>
      </c>
      <c r="C23" s="94">
        <f t="shared" si="6"/>
        <v>-1892500</v>
      </c>
      <c r="D23" s="94">
        <f t="shared" si="6"/>
        <v>-1445025</v>
      </c>
      <c r="E23" s="94">
        <f t="shared" si="6"/>
        <v>-822925</v>
      </c>
      <c r="F23" s="94">
        <f t="shared" si="6"/>
        <v>-225925</v>
      </c>
      <c r="G23" s="94">
        <f t="shared" si="6"/>
        <v>746880.49</v>
      </c>
      <c r="H23" s="94">
        <f aca="true" t="shared" si="7" ref="H23:N23">H8+H13+H21</f>
        <v>746880.49</v>
      </c>
      <c r="I23" s="94">
        <f t="shared" si="7"/>
        <v>1235680.49</v>
      </c>
      <c r="J23" s="94">
        <f t="shared" si="7"/>
        <v>671680.49</v>
      </c>
      <c r="K23" s="94">
        <f t="shared" si="7"/>
        <v>-1304819.51</v>
      </c>
      <c r="L23" s="94">
        <f t="shared" si="7"/>
        <v>-266119.51</v>
      </c>
      <c r="M23" s="94">
        <f t="shared" si="7"/>
        <v>321380.4900000002</v>
      </c>
      <c r="N23" s="94">
        <f t="shared" si="7"/>
        <v>2321380.49</v>
      </c>
    </row>
    <row r="24" spans="1:14" ht="12.75" customHeight="1">
      <c r="A24" s="91" t="str">
        <f ca="1">OFFSET(LangBase!A79,0,CURLANGUAGE-1)</f>
        <v>Денежные средства на начало периода</v>
      </c>
      <c r="B24" s="92">
        <f>Данные!B68</f>
        <v>0</v>
      </c>
      <c r="C24" s="92">
        <f>B25</f>
        <v>2904500</v>
      </c>
      <c r="D24" s="92">
        <f>C25</f>
        <v>1012000</v>
      </c>
      <c r="E24" s="92">
        <f>D25</f>
        <v>-433025</v>
      </c>
      <c r="F24" s="92">
        <f>E25</f>
        <v>-1255950</v>
      </c>
      <c r="G24" s="92">
        <f>F25</f>
        <v>-1481875</v>
      </c>
      <c r="H24" s="92">
        <f aca="true" t="shared" si="8" ref="H24:N24">G25</f>
        <v>-734994.51</v>
      </c>
      <c r="I24" s="92">
        <f t="shared" si="8"/>
        <v>11885.979999999981</v>
      </c>
      <c r="J24" s="92">
        <f t="shared" si="8"/>
        <v>1247566.47</v>
      </c>
      <c r="K24" s="92">
        <f t="shared" si="8"/>
        <v>1919246.96</v>
      </c>
      <c r="L24" s="92">
        <f t="shared" si="8"/>
        <v>614427.45</v>
      </c>
      <c r="M24" s="92">
        <f t="shared" si="8"/>
        <v>348307.93999999994</v>
      </c>
      <c r="N24" s="92">
        <f t="shared" si="8"/>
        <v>669688.4300000002</v>
      </c>
    </row>
    <row r="25" spans="1:14" ht="12.75" customHeight="1" thickBot="1">
      <c r="A25" s="95" t="str">
        <f ca="1">OFFSET(LangBase!A80,0,CURLANGUAGE-1)</f>
        <v>Денежные средства на конец периода</v>
      </c>
      <c r="B25" s="96">
        <f aca="true" t="shared" si="9" ref="B25:G25">B24+B23</f>
        <v>2904500</v>
      </c>
      <c r="C25" s="96">
        <f t="shared" si="9"/>
        <v>1012000</v>
      </c>
      <c r="D25" s="96">
        <f t="shared" si="9"/>
        <v>-433025</v>
      </c>
      <c r="E25" s="96">
        <f t="shared" si="9"/>
        <v>-1255950</v>
      </c>
      <c r="F25" s="96">
        <f t="shared" si="9"/>
        <v>-1481875</v>
      </c>
      <c r="G25" s="96">
        <f t="shared" si="9"/>
        <v>-734994.51</v>
      </c>
      <c r="H25" s="96">
        <f aca="true" t="shared" si="10" ref="H25:N25">H24+H23</f>
        <v>11885.979999999981</v>
      </c>
      <c r="I25" s="96">
        <f t="shared" si="10"/>
        <v>1247566.47</v>
      </c>
      <c r="J25" s="96">
        <f t="shared" si="10"/>
        <v>1919246.96</v>
      </c>
      <c r="K25" s="96">
        <f t="shared" si="10"/>
        <v>614427.45</v>
      </c>
      <c r="L25" s="96">
        <f t="shared" si="10"/>
        <v>348307.93999999994</v>
      </c>
      <c r="M25" s="96">
        <f t="shared" si="10"/>
        <v>669688.4300000002</v>
      </c>
      <c r="N25" s="96">
        <f t="shared" si="10"/>
        <v>2991068.9200000004</v>
      </c>
    </row>
    <row r="26" spans="1:14" ht="12.75" customHeigh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2:14" ht="12.75" customHeight="1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2:14" ht="12.75" customHeight="1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</sheetData>
  <sheetProtection sheet="1" objects="1" scenarios="1"/>
  <printOptions/>
  <pageMargins left="0.984251968503937" right="0.984251968503937" top="0.984251968503937" bottom="0.984251968503937" header="0.5118110236220472" footer="0.5118110236220472"/>
  <pageSetup horizontalDpi="300" verticalDpi="300" orientation="landscape" paperSize="9"/>
  <headerFooter alignWithMargins="0">
    <oddHeader>&amp;LМастерская бизнес-планирования (tm)&amp;R&amp;"Arial Cyr,курсив\Инвестиционный анализ</oddHeader>
    <oddFooter>&amp;L&amp;D &amp;T&amp;C&amp;F&amp;RСтр.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24">
      <selection activeCell="B44" sqref="B44"/>
    </sheetView>
  </sheetViews>
  <sheetFormatPr defaultColWidth="9.125" defaultRowHeight="12.75"/>
  <cols>
    <col min="1" max="1" width="37.875" style="36" customWidth="1"/>
    <col min="2" max="14" width="10.75390625" style="36" customWidth="1"/>
    <col min="15" max="16384" width="9.125" style="36" customWidth="1"/>
  </cols>
  <sheetData>
    <row r="1" spans="1:2" s="202" customFormat="1" ht="25.5" customHeight="1" thickBot="1">
      <c r="A1" s="200" t="str">
        <f ca="1">OFFSET(LangBase!A114,0,CURLANGUAGE-1)</f>
        <v>ОЦЕНКА СТОИМОСТИ БИЗНЕСА</v>
      </c>
      <c r="B1" s="201"/>
    </row>
    <row r="3" spans="1:3" ht="10.5">
      <c r="A3" s="146" t="str">
        <f ca="1">OFFSET(LangBase!A116,0,CURLANGUAGE-1)</f>
        <v>Оценка выполнена для WACC =</v>
      </c>
      <c r="B3" s="157">
        <f>WACC</f>
        <v>0.2</v>
      </c>
      <c r="C3" s="146"/>
    </row>
    <row r="4" spans="1:3" ht="10.5">
      <c r="A4" s="146"/>
      <c r="B4" s="148"/>
      <c r="C4" s="146"/>
    </row>
    <row r="5" spans="1:3" ht="10.5">
      <c r="A5" s="377" t="str">
        <f ca="1">OFFSET(LangBase!A118,0,CURLANGUAGE-1)</f>
        <v>Оценка доходным методом на основе:</v>
      </c>
      <c r="B5" s="238"/>
      <c r="C5" s="239"/>
    </row>
    <row r="6" spans="1:3" ht="10.5">
      <c r="A6" s="149" t="str">
        <f ca="1">OFFSET(LangBase!A119,0,CURLANGUAGE-1)</f>
        <v>    чистого денежного потока (NCF)</v>
      </c>
      <c r="B6" s="154">
        <f>NPV</f>
        <v>4643077.016296178</v>
      </c>
      <c r="C6" s="151" t="str">
        <f aca="true" t="shared" si="0" ref="C6:C12">CURRENCY_NAME</f>
        <v>руб.</v>
      </c>
    </row>
    <row r="7" spans="1:3" ht="10.5">
      <c r="A7" s="150" t="str">
        <f ca="1">OFFSET(LangBase!A120,0,CURLANGUAGE-1)</f>
        <v>    чистой прибыли</v>
      </c>
      <c r="B7" s="155">
        <f ca="1">NPV(DISCOUT_FOR_PER,Прибыль!B30:OFFSET(Прибыль!B30,0,PRJ_DURATION-1))</f>
        <v>5018870.19033509</v>
      </c>
      <c r="C7" s="152" t="str">
        <f t="shared" si="0"/>
        <v>руб.</v>
      </c>
    </row>
    <row r="8" spans="1:3" ht="10.5">
      <c r="A8" s="150" t="str">
        <f ca="1">OFFSET(LangBase!A121,0,CURLANGUAGE-1)</f>
        <v>    прибыли до процентов и налогов (EBIT)</v>
      </c>
      <c r="B8" s="155">
        <f ca="1">B7+NPV(DISCOUT_FOR_PER,Прибыль!B26:OFFSET(Прибыль!B26,0,PRJ_DURATION-1))</f>
        <v>5270054.764103024</v>
      </c>
      <c r="C8" s="152" t="str">
        <f t="shared" si="0"/>
        <v>руб.</v>
      </c>
    </row>
    <row r="9" spans="1:3" ht="10.5">
      <c r="A9" s="100" t="str">
        <f ca="1">OFFSET(LangBase!A122,0,CURLANGUAGE-1)</f>
        <v>    -- // -- и амортизации (EBITDA)</v>
      </c>
      <c r="B9" s="155">
        <f ca="1">B8+NPV(DISCOUT_FOR_PER,Прибыль!B20:OFFSET(Прибыль!B20,0,PRJ_DURATION-1))</f>
        <v>5343195.271488494</v>
      </c>
      <c r="C9" s="152" t="str">
        <f t="shared" si="0"/>
        <v>руб.</v>
      </c>
    </row>
    <row r="10" spans="1:3" ht="10.5">
      <c r="A10" s="149" t="str">
        <f ca="1">OFFSET(LangBase!A123,0,CURLANGUAGE-1)</f>
        <v>    дивидендов</v>
      </c>
      <c r="B10" s="154">
        <f ca="1">NPV(DISCOUT_FOR_PER,'Кэш-фло'!B20:OFFSET('Кэш-фло'!B20,0,PRJ_DURATION-1))</f>
        <v>0</v>
      </c>
      <c r="C10" s="151" t="str">
        <f t="shared" si="0"/>
        <v>руб.</v>
      </c>
    </row>
    <row r="11" spans="1:3" ht="10.5">
      <c r="A11" s="150" t="str">
        <f ca="1">OFFSET(LangBase!A124,0,CURLANGUAGE-1)</f>
        <v>    дивидендов + ликвидационная стоимость</v>
      </c>
      <c r="B11" s="155">
        <f ca="1">B10+(OFFSET(Баланс!B16,0,PRJ_DURATION-1)-OFFSET(Баланс!B19,0,PRJ_DURATION-1)-OFFSET(Баланс!B20,0,PRJ_DURATION-1))/POWER(1+DISCOUT_FOR_PER,PRJ_DURATION)</f>
        <v>5230401.371833447</v>
      </c>
      <c r="C11" s="152" t="str">
        <f t="shared" si="0"/>
        <v>руб.</v>
      </c>
    </row>
    <row r="12" spans="1:3" ht="10.5">
      <c r="A12" s="100" t="str">
        <f ca="1">OFFSET(LangBase!A125,0,CURLANGUAGE-1)</f>
        <v>    дивидендов + продленная стоимость</v>
      </c>
      <c r="B12" s="156">
        <f ca="1">IF(B3&gt;0,B10+OFFSET('Кэш-фло'!B20,0,PRJ_DURATION-1)/B3,"N/A")</f>
        <v>0</v>
      </c>
      <c r="C12" s="153" t="str">
        <f t="shared" si="0"/>
        <v>руб.</v>
      </c>
    </row>
    <row r="13" ht="12" thickBot="1"/>
    <row r="14" spans="1:14" s="220" customFormat="1" ht="26.25" customHeight="1" thickBot="1">
      <c r="A14" s="218" t="str">
        <f ca="1">OFFSET(LangBase!A81,0,CURLANGUAGE-1)</f>
        <v>ФИНАНСОВЫЕ ПОКАЗАТЕЛИ</v>
      </c>
      <c r="B14" s="219" t="str">
        <f>Данные!C124</f>
        <v>11/2001</v>
      </c>
      <c r="C14" s="219" t="str">
        <f>Данные!D124</f>
        <v>12/2001</v>
      </c>
      <c r="D14" s="219" t="str">
        <f>Данные!E124</f>
        <v>1/2002</v>
      </c>
      <c r="E14" s="219" t="str">
        <f>Данные!F124</f>
        <v>2/2002</v>
      </c>
      <c r="F14" s="219" t="str">
        <f>Данные!G124</f>
        <v>3/2002</v>
      </c>
      <c r="G14" s="219" t="str">
        <f>Данные!H124</f>
        <v>4/2002</v>
      </c>
      <c r="H14" s="219" t="str">
        <f>Данные!I124</f>
        <v>5/2002</v>
      </c>
      <c r="I14" s="219" t="str">
        <f>Данные!J124</f>
        <v>6/2002</v>
      </c>
      <c r="J14" s="219" t="str">
        <f>Данные!K124</f>
        <v>7/2002</v>
      </c>
      <c r="K14" s="219" t="str">
        <f>Данные!L124</f>
        <v>8/2002</v>
      </c>
      <c r="L14" s="219" t="str">
        <f>Данные!M124</f>
        <v>9/2002</v>
      </c>
      <c r="M14" s="219" t="str">
        <f>Данные!N124</f>
        <v>10/2002</v>
      </c>
      <c r="N14" s="219" t="str">
        <f>Данные!O124</f>
        <v>11/2002</v>
      </c>
    </row>
    <row r="15" spans="1:14" ht="12.7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12.75" customHeight="1">
      <c r="A16" s="240" t="str">
        <f ca="1">OFFSET(LangBase!A82,0,CURLANGUAGE-1)</f>
        <v>Коэффициенты ликвидности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</row>
    <row r="17" spans="1:14" ht="12.75" customHeight="1">
      <c r="A17" s="101" t="str">
        <f ca="1">OFFSET(LangBase!A83,0,CURLANGUAGE-1)</f>
        <v>Коэффициент абсолютной ликвидности</v>
      </c>
      <c r="B17" s="102">
        <f>IF(Баланс!B19&gt;0.01,Баланс!B2/Баланс!B19,"-")</f>
        <v>0.9681666666666666</v>
      </c>
      <c r="C17" s="102">
        <f>IF(Баланс!C19&gt;0.01,Баланс!C2/Баланс!C19,"-")</f>
        <v>0.3373333333333333</v>
      </c>
      <c r="D17" s="102">
        <f>IF(Баланс!D19&gt;0.01,Баланс!D2/Баланс!D19,"-")</f>
        <v>-0.14434166666666667</v>
      </c>
      <c r="E17" s="102">
        <f>IF(Баланс!E19&gt;0.01,Баланс!E2/Баланс!E19,"-")</f>
        <v>-0.41865</v>
      </c>
      <c r="F17" s="102">
        <f>IF(Баланс!F19&gt;0.01,Баланс!F2/Баланс!F19,"-")</f>
        <v>-0.49395833333333333</v>
      </c>
      <c r="G17" s="102">
        <f>IF(Баланс!G19&gt;0.01,Баланс!G2/Баланс!G19,"-")</f>
        <v>-0.24499817000000002</v>
      </c>
      <c r="H17" s="102">
        <f>IF(Баланс!H19&gt;0.01,Баланс!H2/Баланс!H19,"-")</f>
        <v>0.0039619933333333275</v>
      </c>
      <c r="I17" s="102">
        <f>IF(Баланс!I19&gt;0.01,Баланс!I2/Баланс!I19,"-")</f>
        <v>0.41585549</v>
      </c>
      <c r="J17" s="102">
        <f>IF(Баланс!J19&gt;0.01,Баланс!J2/Баланс!J19,"-")</f>
        <v>0.6397489866666667</v>
      </c>
      <c r="K17" s="102">
        <f>IF(Баланс!K19&gt;0.01,Баланс!K2/Баланс!K19,"-")</f>
        <v>0.61442745</v>
      </c>
      <c r="L17" s="102" t="str">
        <f>IF(Баланс!L19&gt;0.01,Баланс!L2/Баланс!L19,"-")</f>
        <v>-</v>
      </c>
      <c r="M17" s="102" t="str">
        <f>IF(Баланс!M19&gt;0.01,Баланс!M2/Баланс!M19,"-")</f>
        <v>-</v>
      </c>
      <c r="N17" s="102" t="str">
        <f>IF(Баланс!N19&gt;0.01,Баланс!N2/Баланс!N19,"-")</f>
        <v>-</v>
      </c>
    </row>
    <row r="18" spans="1:14" ht="12.75" customHeight="1">
      <c r="A18" s="101" t="str">
        <f ca="1">OFFSET(LangBase!A84,0,CURLANGUAGE-1)</f>
        <v>Коэффициент срочной ликвидности</v>
      </c>
      <c r="B18" s="102">
        <f>IF(Баланс!B19&gt;0.01,(Баланс!B2+Баланс!B3)/Баланс!B19,"-")</f>
        <v>0.9681666666666666</v>
      </c>
      <c r="C18" s="102">
        <f>IF(Баланс!C19&gt;0.01,(Баланс!C2+Баланс!C3)/Баланс!C19,"-")</f>
        <v>0.3373333333333333</v>
      </c>
      <c r="D18" s="102">
        <f>IF(Баланс!D19&gt;0.01,(Баланс!D2+Баланс!D3)/Баланс!D19,"-")</f>
        <v>-0.13534166666666667</v>
      </c>
      <c r="E18" s="102">
        <f>IF(Баланс!E19&gt;0.01,(Баланс!E2+Баланс!E3)/Баланс!E19,"-")</f>
        <v>-0.40065</v>
      </c>
      <c r="F18" s="102">
        <f>IF(Баланс!F19&gt;0.01,(Баланс!F2+Баланс!F3)/Баланс!F19,"-")</f>
        <v>-0.4759583333333333</v>
      </c>
      <c r="G18" s="102">
        <f>IF(Баланс!G19&gt;0.01,(Баланс!G2+Баланс!G3)/Баланс!G19,"-")</f>
        <v>-0.22699817</v>
      </c>
      <c r="H18" s="102">
        <f>IF(Баланс!H19&gt;0.01,(Баланс!H2+Баланс!H3)/Баланс!H19,"-")</f>
        <v>0.02196199333333333</v>
      </c>
      <c r="I18" s="102">
        <f>IF(Баланс!I19&gt;0.01,(Баланс!I2+Баланс!I3)/Баланс!I19,"-")</f>
        <v>0.43385549</v>
      </c>
      <c r="J18" s="102">
        <f>IF(Баланс!J19&gt;0.01,(Баланс!J2+Баланс!J3)/Баланс!J19,"-")</f>
        <v>0.6577489866666667</v>
      </c>
      <c r="K18" s="102">
        <f>IF(Баланс!K19&gt;0.01,(Баланс!K2+Баланс!K3)/Баланс!K19,"-")</f>
        <v>0.6684274499999999</v>
      </c>
      <c r="L18" s="102" t="str">
        <f>IF(Баланс!L19&gt;0.01,(Баланс!L2+Баланс!L3)/Баланс!L19,"-")</f>
        <v>-</v>
      </c>
      <c r="M18" s="102" t="str">
        <f>IF(Баланс!M19&gt;0.01,(Баланс!M2+Баланс!M3)/Баланс!M19,"-")</f>
        <v>-</v>
      </c>
      <c r="N18" s="102" t="str">
        <f>IF(Баланс!N19&gt;0.01,(Баланс!N2+Баланс!N3)/Баланс!N19,"-")</f>
        <v>-</v>
      </c>
    </row>
    <row r="19" spans="1:14" ht="12.75" customHeight="1">
      <c r="A19" s="101" t="str">
        <f ca="1">OFFSET(LangBase!A85,0,CURLANGUAGE-1)</f>
        <v>Коэффициент текущей ликвидности</v>
      </c>
      <c r="B19" s="102">
        <f>IF(Баланс!B19&gt;0.01,Баланс!B6/Баланс!B19,"-")</f>
        <v>0.9681666666666666</v>
      </c>
      <c r="C19" s="102">
        <f>IF(Баланс!C19&gt;0.01,Баланс!C6/Баланс!C19,"-")</f>
        <v>0.3373333333333333</v>
      </c>
      <c r="D19" s="102">
        <f>IF(Баланс!D19&gt;0.01,Баланс!D6/Баланс!D19,"-")</f>
        <v>-0.13534166666666667</v>
      </c>
      <c r="E19" s="102">
        <f>IF(Баланс!E19&gt;0.01,Баланс!E6/Баланс!E19,"-")</f>
        <v>-0.40065</v>
      </c>
      <c r="F19" s="102">
        <f>IF(Баланс!F19&gt;0.01,Баланс!F6/Баланс!F19,"-")</f>
        <v>-0.4759583333333333</v>
      </c>
      <c r="G19" s="102">
        <f>IF(Баланс!G19&gt;0.01,Баланс!G6/Баланс!G19,"-")</f>
        <v>-0.22699817</v>
      </c>
      <c r="H19" s="102">
        <f>IF(Баланс!H19&gt;0.01,Баланс!H6/Баланс!H19,"-")</f>
        <v>0.02196199333333333</v>
      </c>
      <c r="I19" s="102">
        <f>IF(Баланс!I19&gt;0.01,Баланс!I6/Баланс!I19,"-")</f>
        <v>0.43385549</v>
      </c>
      <c r="J19" s="102">
        <f>IF(Баланс!J19&gt;0.01,Баланс!J6/Баланс!J19,"-")</f>
        <v>0.6577489866666667</v>
      </c>
      <c r="K19" s="102">
        <f>IF(Баланс!K19&gt;0.01,Баланс!K6/Баланс!K19,"-")</f>
        <v>0.6684274499999999</v>
      </c>
      <c r="L19" s="102" t="str">
        <f>IF(Баланс!L19&gt;0.01,Баланс!L6/Баланс!L19,"-")</f>
        <v>-</v>
      </c>
      <c r="M19" s="102" t="str">
        <f>IF(Баланс!M19&gt;0.01,Баланс!M6/Баланс!M19,"-")</f>
        <v>-</v>
      </c>
      <c r="N19" s="102" t="str">
        <f>IF(Баланс!N19&gt;0.01,Баланс!N6/Баланс!N19,"-")</f>
        <v>-</v>
      </c>
    </row>
    <row r="20" spans="1:14" ht="12.75" customHeight="1">
      <c r="A20" s="101" t="str">
        <f ca="1">OFFSET(LangBase!A86,0,CURLANGUAGE-1)</f>
        <v>Чистый оборотный капитал</v>
      </c>
      <c r="B20" s="103">
        <f>Баланс!B6-Баланс!B19</f>
        <v>-95500</v>
      </c>
      <c r="C20" s="103">
        <f>Баланс!C6-Баланс!C19</f>
        <v>-1988000</v>
      </c>
      <c r="D20" s="103">
        <f>Баланс!D6-Баланс!D19</f>
        <v>-3406025</v>
      </c>
      <c r="E20" s="103">
        <f>Баланс!E6-Баланс!E19</f>
        <v>-4201950</v>
      </c>
      <c r="F20" s="103">
        <f>Баланс!F6-Баланс!F19</f>
        <v>-4427875</v>
      </c>
      <c r="G20" s="103">
        <f>Баланс!G6-Баланс!G19</f>
        <v>-3680994.51</v>
      </c>
      <c r="H20" s="103">
        <f>Баланс!H6-Баланс!H19</f>
        <v>-2934114.02</v>
      </c>
      <c r="I20" s="103">
        <f>Баланс!I6-Баланс!I19</f>
        <v>-1698433.53</v>
      </c>
      <c r="J20" s="103">
        <f>Баланс!J6-Баланс!J19</f>
        <v>-1026753.04</v>
      </c>
      <c r="K20" s="103">
        <f>Баланс!K6-Баланс!K19</f>
        <v>-331572.55000000005</v>
      </c>
      <c r="L20" s="103">
        <f>Баланс!L6-Баланс!L19</f>
        <v>1402307.94</v>
      </c>
      <c r="M20" s="103">
        <f>Баланс!M6-Баланс!M19</f>
        <v>3723688.43</v>
      </c>
      <c r="N20" s="103">
        <f>Баланс!N6-Баланс!N19</f>
        <v>6045068.92</v>
      </c>
    </row>
    <row r="21" spans="1:14" ht="12.75" customHeight="1">
      <c r="A21" s="240" t="str">
        <f ca="1">OFFSET(LangBase!A87,0,CURLANGUAGE-1)</f>
        <v>Показатели структуры капитала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</row>
    <row r="22" spans="1:14" ht="12.75" customHeight="1">
      <c r="A22" s="101" t="str">
        <f ca="1">OFFSET(LangBase!A88,0,CURLANGUAGE-1)</f>
        <v>Коэффициент финансовой независимости</v>
      </c>
      <c r="B22" s="102">
        <f>IF(Баланс!B25&gt;0.01,Баланс!B24/Баланс!B25,"-")</f>
        <v>-0.03288001377173352</v>
      </c>
      <c r="C22" s="102">
        <f>IF(Баланс!C25&gt;0.01,Баланс!C24/Баланс!C25,"-")</f>
        <v>-1.109704641350211</v>
      </c>
      <c r="D22" s="102" t="str">
        <f>IF(Баланс!D25&gt;0.01,Баланс!D24/Баланс!D25,"-")</f>
        <v>-</v>
      </c>
      <c r="E22" s="102" t="str">
        <f>IF(Баланс!E25&gt;0.01,Баланс!E24/Баланс!E25,"-")</f>
        <v>-</v>
      </c>
      <c r="F22" s="102" t="str">
        <f>IF(Баланс!F25&gt;0.01,Баланс!F24/Баланс!F25,"-")</f>
        <v>-</v>
      </c>
      <c r="G22" s="102" t="str">
        <f>IF(Баланс!G25&gt;0.01,Баланс!G24/Баланс!G25,"-")</f>
        <v>-</v>
      </c>
      <c r="H22" s="102">
        <f>IF(Баланс!H25&gt;0.01,Баланс!H24/Баланс!H25,"-")</f>
        <v>-5.843271532711246</v>
      </c>
      <c r="I22" s="102">
        <f>IF(Баланс!I25&gt;0.01,Баланс!I24/Баланс!I25,"-")</f>
        <v>-0.8001071387766855</v>
      </c>
      <c r="J22" s="102">
        <f>IF(Баланс!J25&gt;0.01,Баланс!J24/Баланс!J25,"-")</f>
        <v>-0.28714036736799514</v>
      </c>
      <c r="K22" s="102">
        <f>IF(Баланс!K25&gt;0.01,Баланс!K24/Баланс!K25,"-")</f>
        <v>0.018095308807961754</v>
      </c>
      <c r="L22" s="102">
        <f>IF(Баланс!L25&gt;0.01,Баланс!L24/Баланс!L25,"-")</f>
        <v>2.3426253029231203</v>
      </c>
      <c r="M22" s="102">
        <f>IF(Баланс!M25&gt;0.01,Баланс!M24/Баланс!M25,"-")</f>
        <v>3.8336904344771288</v>
      </c>
      <c r="N22" s="102">
        <f>IF(Баланс!N25&gt;0.01,Баланс!N24/Баланс!N25,"-")</f>
        <v>1.8895291513261516</v>
      </c>
    </row>
    <row r="23" spans="1:14" ht="12.75" customHeight="1">
      <c r="A23" s="101" t="str">
        <f ca="1">OFFSET(LangBase!A89,0,CURLANGUAGE-1)</f>
        <v>Сумм. обязательства к сумм. активам</v>
      </c>
      <c r="B23" s="102">
        <f>IF(Баланс!B25&gt;0.01,(Баланс!B19+Баланс!B20)/Баланс!B25,"-")</f>
        <v>1.0328800137717336</v>
      </c>
      <c r="C23" s="102">
        <f>IF(Баланс!C25&gt;0.01,(Баланс!C19+Баланс!C20)/Баланс!C25,"-")</f>
        <v>2.109704641350211</v>
      </c>
      <c r="D23" s="102" t="str">
        <f>IF(Баланс!D25&gt;0.01,(Баланс!D19+Баланс!D20)/Баланс!D25,"-")</f>
        <v>-</v>
      </c>
      <c r="E23" s="102" t="str">
        <f>IF(Баланс!E25&gt;0.01,(Баланс!E19+Баланс!E20)/Баланс!E25,"-")</f>
        <v>-</v>
      </c>
      <c r="F23" s="102" t="str">
        <f>IF(Баланс!F25&gt;0.01,(Баланс!F19+Баланс!F20)/Баланс!F25,"-")</f>
        <v>-</v>
      </c>
      <c r="G23" s="102" t="str">
        <f>IF(Баланс!G25&gt;0.01,(Баланс!G19+Баланс!G20)/Баланс!G25,"-")</f>
        <v>-</v>
      </c>
      <c r="H23" s="102">
        <f>IF(Баланс!H25&gt;0.01,(Баланс!H19+Баланс!H20)/Баланс!H25,"-")</f>
        <v>6.843271532711246</v>
      </c>
      <c r="I23" s="102">
        <f>IF(Баланс!I25&gt;0.01,(Баланс!I19+Баланс!I20)/Баланс!I25,"-")</f>
        <v>1.8001071387766856</v>
      </c>
      <c r="J23" s="102">
        <f>IF(Баланс!J25&gt;0.01,(Баланс!J19+Баланс!J20)/Баланс!J25,"-")</f>
        <v>1.287140367367995</v>
      </c>
      <c r="K23" s="102">
        <f>IF(Баланс!K25&gt;0.01,(Баланс!K19+Баланс!K20)/Баланс!K25,"-")</f>
        <v>0.9819046911920383</v>
      </c>
      <c r="L23" s="102">
        <f>IF(Баланс!L25&gt;0.01,(Баланс!L19+Баланс!L20)/Баланс!L25,"-")</f>
        <v>-1.3426253029231205</v>
      </c>
      <c r="M23" s="102">
        <f>IF(Баланс!M25&gt;0.01,(Баланс!M19+Баланс!M20)/Баланс!M25,"-")</f>
        <v>-2.8336904344771288</v>
      </c>
      <c r="N23" s="102">
        <f>IF(Баланс!N25&gt;0.01,(Баланс!N19+Баланс!N20)/Баланс!N25,"-")</f>
        <v>-0.8895291513261515</v>
      </c>
    </row>
    <row r="24" spans="1:14" ht="12.75" customHeight="1">
      <c r="A24" s="101" t="str">
        <f ca="1">OFFSET(LangBase!A90,0,CURLANGUAGE-1)</f>
        <v>Долгосрочные обязательства к активам</v>
      </c>
      <c r="B24" s="102">
        <f>IF(Баланс!B25&gt;0.01,Баланс!B20/Баланс!B25,"-")</f>
        <v>0</v>
      </c>
      <c r="C24" s="102">
        <f>IF(Баланс!C25&gt;0.01,Баланс!C20/Баланс!C25,"-")</f>
        <v>0</v>
      </c>
      <c r="D24" s="102" t="str">
        <f>IF(Баланс!D25&gt;0.01,Баланс!D20/Баланс!D25,"-")</f>
        <v>-</v>
      </c>
      <c r="E24" s="102" t="str">
        <f>IF(Баланс!E25&gt;0.01,Баланс!E20/Баланс!E25,"-")</f>
        <v>-</v>
      </c>
      <c r="F24" s="102" t="str">
        <f>IF(Баланс!F25&gt;0.01,Баланс!F20/Баланс!F25,"-")</f>
        <v>-</v>
      </c>
      <c r="G24" s="102" t="str">
        <f>IF(Баланс!G25&gt;0.01,Баланс!G20/Баланс!G25,"-")</f>
        <v>-</v>
      </c>
      <c r="H24" s="102">
        <f>IF(Баланс!H25&gt;0.01,Баланс!H20/Баланс!H25,"-")</f>
        <v>0</v>
      </c>
      <c r="I24" s="102">
        <f>IF(Баланс!I25&gt;0.01,Баланс!I20/Баланс!I25,"-")</f>
        <v>0</v>
      </c>
      <c r="J24" s="102">
        <f>IF(Баланс!J25&gt;0.01,Баланс!J20/Баланс!J25,"-")</f>
        <v>0</v>
      </c>
      <c r="K24" s="102">
        <f>IF(Баланс!K25&gt;0.01,Баланс!K20/Баланс!K25,"-")</f>
        <v>0</v>
      </c>
      <c r="L24" s="102">
        <f>IF(Баланс!L25&gt;0.01,Баланс!L20/Баланс!L25,"-")</f>
        <v>0</v>
      </c>
      <c r="M24" s="102">
        <f>IF(Баланс!M25&gt;0.01,Баланс!M20/Баланс!M25,"-")</f>
        <v>0</v>
      </c>
      <c r="N24" s="102">
        <f>IF(Баланс!N25&gt;0.01,Баланс!N20/Баланс!N25,"-")</f>
        <v>0</v>
      </c>
    </row>
    <row r="25" spans="1:14" ht="12.75" customHeight="1">
      <c r="A25" s="101" t="str">
        <f ca="1">OFFSET(LangBase!A91,0,CURLANGUAGE-1)</f>
        <v>Сумм. обязательства к собств. капиталу </v>
      </c>
      <c r="B25" s="102" t="str">
        <f>IF(Баланс!B24&gt;0.01,(Баланс!B19+Баланс!B20)/Баланс!B24,"-")</f>
        <v>-</v>
      </c>
      <c r="C25" s="102" t="str">
        <f>IF(Баланс!C24&gt;0.01,(Баланс!C19+Баланс!C20)/Баланс!C24,"-")</f>
        <v>-</v>
      </c>
      <c r="D25" s="102" t="str">
        <f>IF(Баланс!D24&gt;0.01,(Баланс!D19+Баланс!D20)/Баланс!D24,"-")</f>
        <v>-</v>
      </c>
      <c r="E25" s="102" t="str">
        <f>IF(Баланс!E24&gt;0.01,(Баланс!E19+Баланс!E20)/Баланс!E24,"-")</f>
        <v>-</v>
      </c>
      <c r="F25" s="102" t="str">
        <f>IF(Баланс!F24&gt;0.01,(Баланс!F19+Баланс!F20)/Баланс!F24,"-")</f>
        <v>-</v>
      </c>
      <c r="G25" s="102" t="str">
        <f>IF(Баланс!G24&gt;0.01,(Баланс!G19+Баланс!G20)/Баланс!G24,"-")</f>
        <v>-</v>
      </c>
      <c r="H25" s="102" t="str">
        <f>IF(Баланс!H24&gt;0.01,(Баланс!H19+Баланс!H20)/Баланс!H24,"-")</f>
        <v>-</v>
      </c>
      <c r="I25" s="102" t="str">
        <f>IF(Баланс!I24&gt;0.01,(Баланс!I19+Баланс!I20)/Баланс!I24,"-")</f>
        <v>-</v>
      </c>
      <c r="J25" s="102" t="str">
        <f>IF(Баланс!J24&gt;0.01,(Баланс!J19+Баланс!J20)/Баланс!J24,"-")</f>
        <v>-</v>
      </c>
      <c r="K25" s="102">
        <f>IF(Баланс!K24&gt;0.01,(Баланс!K19+Баланс!K20)/Баланс!K24,"-")</f>
        <v>54.26294193774743</v>
      </c>
      <c r="L25" s="102">
        <f>IF(Баланс!L24&gt;0.01,(Баланс!L19+Баланс!L20)/Баланс!L24,"-")</f>
        <v>-0.5731284901805666</v>
      </c>
      <c r="M25" s="102">
        <f>IF(Баланс!M24&gt;0.01,(Баланс!M19+Баланс!M20)/Баланс!M24,"-")</f>
        <v>-0.739154734298105</v>
      </c>
      <c r="N25" s="102">
        <f>IF(Баланс!N24&gt;0.01,(Баланс!N19+Баланс!N20)/Баланс!N24,"-")</f>
        <v>-0.4707676252053811</v>
      </c>
    </row>
    <row r="26" spans="1:14" ht="12.75" customHeight="1">
      <c r="A26" s="101" t="str">
        <f ca="1">OFFSET(LangBase!A92,0,CURLANGUAGE-1)</f>
        <v>Долгоср. обязательства к внеобор. активам</v>
      </c>
      <c r="B26" s="102" t="str">
        <f>IF(Баланс!B15&gt;0.01,Баланс!B20/Баланс!B15,"-")</f>
        <v>-</v>
      </c>
      <c r="C26" s="102">
        <f>IF(Баланс!C15&gt;0.01,Баланс!C20/Баланс!C15,"-")</f>
        <v>0</v>
      </c>
      <c r="D26" s="102">
        <f>IF(Баланс!D15&gt;0.01,Баланс!D20/Баланс!D15,"-")</f>
        <v>0</v>
      </c>
      <c r="E26" s="102">
        <f>IF(Баланс!E15&gt;0.01,Баланс!E20/Баланс!E15,"-")</f>
        <v>0</v>
      </c>
      <c r="F26" s="102">
        <f>IF(Баланс!F15&gt;0.01,Баланс!F20/Баланс!F15,"-")</f>
        <v>0</v>
      </c>
      <c r="G26" s="102">
        <f>IF(Баланс!G15&gt;0.01,Баланс!G20/Баланс!G15,"-")</f>
        <v>0</v>
      </c>
      <c r="H26" s="102">
        <f>IF(Баланс!H15&gt;0.01,Баланс!H20/Баланс!H15,"-")</f>
        <v>0</v>
      </c>
      <c r="I26" s="102">
        <f>IF(Баланс!I15&gt;0.01,Баланс!I20/Баланс!I15,"-")</f>
        <v>0</v>
      </c>
      <c r="J26" s="102">
        <f>IF(Баланс!J15&gt;0.01,Баланс!J20/Баланс!J15,"-")</f>
        <v>0</v>
      </c>
      <c r="K26" s="102">
        <f>IF(Баланс!K15&gt;0.01,Баланс!K20/Баланс!K15,"-")</f>
        <v>0</v>
      </c>
      <c r="L26" s="102">
        <f>IF(Баланс!L15&gt;0.01,Баланс!L20/Баланс!L15,"-")</f>
        <v>0</v>
      </c>
      <c r="M26" s="102">
        <f>IF(Баланс!M15&gt;0.01,Баланс!M20/Баланс!M15,"-")</f>
        <v>0</v>
      </c>
      <c r="N26" s="102">
        <f>IF(Баланс!N15&gt;0.01,Баланс!N20/Баланс!N15,"-")</f>
        <v>0</v>
      </c>
    </row>
    <row r="27" spans="1:14" ht="12.75" customHeight="1">
      <c r="A27" s="101" t="str">
        <f ca="1">OFFSET(LangBase!A93,0,CURLANGUAGE-1)</f>
        <v>Коэффициент покрытия процентов</v>
      </c>
      <c r="B27" s="102">
        <f>IF(Прибыль!B26&gt;0.01,Прибыль!B19/Прибыль!B26,"-")</f>
        <v>-1.5466666666666666</v>
      </c>
      <c r="C27" s="102">
        <f>IF(Прибыль!C26&gt;0.01,Прибыль!C19/Прибыль!C26,"-")</f>
        <v>-38.53333333333333</v>
      </c>
      <c r="D27" s="102">
        <f>IF(Прибыль!D26&gt;0.01,Прибыль!D19/Прибыль!D26,"-")</f>
        <v>-36.814</v>
      </c>
      <c r="E27" s="102">
        <f>IF(Прибыль!E26&gt;0.01,Прибыль!E19/Прибыль!E26,"-")</f>
        <v>-20.224666666666668</v>
      </c>
      <c r="F27" s="102">
        <f>IF(Прибыль!F26&gt;0.01,Прибыль!F19/Прибыль!F26,"-")</f>
        <v>-5.024666666666667</v>
      </c>
      <c r="G27" s="102">
        <f>IF(Прибыль!G26&gt;0.01,Прибыль!G19/Прибыль!G26,"-")</f>
        <v>22.175333333333334</v>
      </c>
      <c r="H27" s="102">
        <f>IF(Прибыль!H26&gt;0.01,Прибыль!H19/Прибыль!H26,"-")</f>
        <v>22.175333333333334</v>
      </c>
      <c r="I27" s="102">
        <f>IF(Прибыль!I26&gt;0.01,Прибыль!I19/Прибыль!I26,"-")</f>
        <v>36.042</v>
      </c>
      <c r="J27" s="102">
        <f>IF(Прибыль!J26&gt;0.01,Прибыль!J19/Прибыль!J26,"-")</f>
        <v>20.042</v>
      </c>
      <c r="K27" s="102">
        <f>IF(Прибыль!K26&gt;0.01,Прибыль!K19/Прибыль!K26,"-")</f>
        <v>60.12600000000001</v>
      </c>
      <c r="L27" s="102" t="str">
        <f>IF(Прибыль!L26&gt;0.01,Прибыль!L19/Прибыль!L26,"-")</f>
        <v>-</v>
      </c>
      <c r="M27" s="102" t="str">
        <f>IF(Прибыль!M26&gt;0.01,Прибыль!M19/Прибыль!M26,"-")</f>
        <v>-</v>
      </c>
      <c r="N27" s="102" t="str">
        <f>IF(Прибыль!N26&gt;0.01,Прибыль!N19/Прибыль!N26,"-")</f>
        <v>-</v>
      </c>
    </row>
    <row r="28" spans="1:14" ht="12.75" customHeight="1">
      <c r="A28" s="240" t="str">
        <f ca="1">OFFSET(LangBase!A94,0,CURLANGUAGE-1)</f>
        <v>Коэффициенты рентабельности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</row>
    <row r="29" spans="1:14" ht="12.75" customHeight="1">
      <c r="A29" s="101" t="str">
        <f ca="1">OFFSET(LangBase!A95,0,CURLANGUAGE-1)</f>
        <v>Рентабельность продаж</v>
      </c>
      <c r="B29" s="104" t="str">
        <f>IF(Прибыль!B2&gt;0.01,Прибыль!B30/Прибыль!B2,"-")</f>
        <v>-</v>
      </c>
      <c r="C29" s="104" t="str">
        <f>IF(Прибыль!C2&gt;0.01,Прибыль!C30/Прибыль!C2,"-")</f>
        <v>-</v>
      </c>
      <c r="D29" s="104">
        <f>IF(Прибыль!D2&gt;0.01,Прибыль!D30/Прибыль!D2,"-")</f>
        <v>-3.4768898373983737</v>
      </c>
      <c r="E29" s="104">
        <f>IF(Прибыль!E2&gt;0.01,Прибыль!E30/Прибыль!E2,"-")</f>
        <v>-0.8115402356902357</v>
      </c>
      <c r="F29" s="104">
        <f>IF(Прибыль!F2&gt;0.01,Прибыль!F30/Прибыль!F2,"-")</f>
        <v>-0.14061736947791165</v>
      </c>
      <c r="G29" s="104">
        <f>IF(Прибыль!G2&gt;0.01,Прибыль!G30/Прибыль!G2,"-")</f>
        <v>0.28658164987080104</v>
      </c>
      <c r="H29" s="104">
        <f>IF(Прибыль!H2&gt;0.01,Прибыль!H30/Прибыль!H2,"-")</f>
        <v>0.2567293946759259</v>
      </c>
      <c r="I29" s="104">
        <f>IF(Прибыль!I2&gt;0.01,Прибыль!I30/Прибыль!I2,"-")</f>
        <v>0.42645161689814814</v>
      </c>
      <c r="J29" s="104">
        <f>IF(Прибыль!J2&gt;0.01,Прибыль!J30/Прибыль!J2,"-")</f>
        <v>0.2913073055555555</v>
      </c>
      <c r="K29" s="104">
        <f>IF(Прибыль!K2&gt;0.01,Прибыль!K30/Прибыль!K2,"-")</f>
        <v>0.30161432309941516</v>
      </c>
      <c r="L29" s="104">
        <f>IF(Прибыль!L2&gt;0.01,Прибыль!L30/Прибыль!L2,"-")</f>
        <v>0.49608639559386974</v>
      </c>
      <c r="M29" s="104">
        <f>IF(Прибыль!M2&gt;0.01,Прибыль!M30/Прибыль!M2,"-")</f>
        <v>0.5671276119281046</v>
      </c>
      <c r="N29" s="104">
        <f>IF(Прибыль!N2&gt;0.01,Прибыль!N30/Прибыль!N2,"-")</f>
        <v>0.5671276119281046</v>
      </c>
    </row>
    <row r="30" spans="1:14" ht="12.75" customHeight="1">
      <c r="A30" s="101" t="str">
        <f ca="1">OFFSET(LangBase!A96,0,CURLANGUAGE-1)</f>
        <v>Рентабельность собственного капитала</v>
      </c>
      <c r="B30" s="104" t="str">
        <f>IF(Баланс!B24&gt;0.01,Прибыль!B30/Баланс!B24*12/Расчеты!$B$7,"-")</f>
        <v>-</v>
      </c>
      <c r="C30" s="104" t="str">
        <f>IF(Баланс!C24&gt;0.01,Прибыль!C30/Баланс!C24*12/Расчеты!$B$7,"-")</f>
        <v>-</v>
      </c>
      <c r="D30" s="104" t="str">
        <f>IF(Баланс!D24&gt;0.01,Прибыль!D30/Баланс!D24*12/Расчеты!$B$7,"-")</f>
        <v>-</v>
      </c>
      <c r="E30" s="104" t="str">
        <f>IF(Баланс!E24&gt;0.01,Прибыль!E30/Баланс!E24*12/Расчеты!$B$7,"-")</f>
        <v>-</v>
      </c>
      <c r="F30" s="104" t="str">
        <f>IF(Баланс!F24&gt;0.01,Прибыль!F30/Баланс!F24*12/Расчеты!$B$7,"-")</f>
        <v>-</v>
      </c>
      <c r="G30" s="104" t="str">
        <f>IF(Баланс!G24&gt;0.01,Прибыль!G30/Баланс!G24*12/Расчеты!$B$7,"-")</f>
        <v>-</v>
      </c>
      <c r="H30" s="104" t="str">
        <f>IF(Баланс!H24&gt;0.01,Прибыль!H30/Баланс!H24*12/Расчеты!$B$7,"-")</f>
        <v>-</v>
      </c>
      <c r="I30" s="104" t="str">
        <f>IF(Баланс!I24&gt;0.01,Прибыль!I30/Баланс!I24*12/Расчеты!$B$7,"-")</f>
        <v>-</v>
      </c>
      <c r="J30" s="104" t="str">
        <f>IF(Баланс!J24&gt;0.01,Прибыль!J30/Баланс!J24*12/Расчеты!$B$7,"-")</f>
        <v>-</v>
      </c>
      <c r="K30" s="104">
        <f>IF(Баланс!K24&gt;0.01,Прибыль!K30/Баланс!K24*12/Расчеты!$B$7,"-")</f>
        <v>447.78690653298423</v>
      </c>
      <c r="L30" s="104">
        <f>IF(Баланс!L24&gt;0.01,Прибыль!L30/Баланс!L24*12/Расчеты!$B$7,"-")</f>
        <v>11.873255270787622</v>
      </c>
      <c r="M30" s="104">
        <f>IF(Баланс!M24&gt;0.01,Прибыль!M30/Баланс!M24*12/Расчеты!$B$7,"-")</f>
        <v>6.841263367903899</v>
      </c>
      <c r="N30" s="104">
        <f>IF(Баланс!N24&gt;0.01,Прибыль!N30/Баланс!N24*12/Расчеты!$B$7,"-")</f>
        <v>4.357200406990538</v>
      </c>
    </row>
    <row r="31" spans="1:14" ht="12.75" customHeight="1">
      <c r="A31" s="101" t="str">
        <f ca="1">OFFSET(LangBase!A97,0,CURLANGUAGE-1)</f>
        <v>Рентабельность оборотных активов</v>
      </c>
      <c r="B31" s="104">
        <f>IF(Баланс!B6&gt;0.01,Прибыль!B30/Баланс!B6*12/Расчеты!$B$7,"-")</f>
        <v>-0.3945601652608022</v>
      </c>
      <c r="C31" s="104">
        <f>IF(Баланс!C6&gt;0.01,Прибыль!C30/Баланс!C6*12/Расчеты!$B$7,"-")</f>
        <v>-17.57905138339921</v>
      </c>
      <c r="D31" s="104" t="str">
        <f>IF(Баланс!D6&gt;0.01,Прибыль!D30/Баланс!D6*12/Расчеты!$B$7,"-")</f>
        <v>-</v>
      </c>
      <c r="E31" s="104" t="str">
        <f>IF(Баланс!E6&gt;0.01,Прибыль!E30/Баланс!E6*12/Расчеты!$B$7,"-")</f>
        <v>-</v>
      </c>
      <c r="F31" s="104" t="str">
        <f>IF(Баланс!F6&gt;0.01,Прибыль!F30/Баланс!F6*12/Расчеты!$B$7,"-")</f>
        <v>-</v>
      </c>
      <c r="G31" s="104" t="str">
        <f>IF(Баланс!G6&gt;0.01,Прибыль!G30/Баланс!G6*12/Расчеты!$B$7,"-")</f>
        <v>-</v>
      </c>
      <c r="H31" s="104">
        <f>IF(Баланс!H6&gt;0.01,Прибыль!H30/Баланс!H6*12/Расчеты!$B$7,"-")</f>
        <v>134.66549150517307</v>
      </c>
      <c r="I31" s="104">
        <f>IF(Баланс!I6&gt;0.01,Прибыль!I30/Баланс!I6*12/Расчеты!$B$7,"-")</f>
        <v>11.323407770330778</v>
      </c>
      <c r="J31" s="104">
        <f>IF(Баланс!J6&gt;0.01,Прибыль!J30/Баланс!J6*12/Расчеты!$B$7,"-")</f>
        <v>4.039113218752912</v>
      </c>
      <c r="K31" s="104">
        <f>IF(Баланс!K6&gt;0.01,Прибыль!K30/Баланс!K6*12/Расчеты!$B$7,"-")</f>
        <v>12.345644811564815</v>
      </c>
      <c r="L31" s="104">
        <f>IF(Баланс!L6&gt;0.01,Прибыль!L30/Баланс!L6*12/Расчеты!$B$7,"-")</f>
        <v>51.494305282664826</v>
      </c>
      <c r="M31" s="104">
        <f>IF(Баланс!M6&gt;0.01,Прибыль!M30/Баланс!M6*12/Расчеты!$B$7,"-")</f>
        <v>38.368124636178024</v>
      </c>
      <c r="N31" s="104">
        <f>IF(Баланс!N6&gt;0.01,Прибыль!N30/Баланс!N6*12/Расчеты!$B$7,"-")</f>
        <v>9.11853511676839</v>
      </c>
    </row>
    <row r="32" spans="1:14" ht="12.75" customHeight="1">
      <c r="A32" s="101" t="str">
        <f ca="1">OFFSET(LangBase!A98,0,CURLANGUAGE-1)</f>
        <v>Рентабельность внеоборотных активов</v>
      </c>
      <c r="B32" s="104" t="str">
        <f>IF(Баланс!B15&gt;0.01,Прибыль!B30/Баланс!B15*12/Расчеты!$B$7,"-")</f>
        <v>-</v>
      </c>
      <c r="C32" s="104">
        <f>IF(Баланс!C15&gt;0.01,Прибыль!C30/Баланс!C15*12/Расчеты!$B$7,"-")</f>
        <v>-43.390243902439025</v>
      </c>
      <c r="D32" s="104">
        <f>IF(Баланс!D15&gt;0.01,Прибыль!D30/Баланс!D15*12/Расчеты!$B$7,"-")</f>
        <v>-42.500101656272605</v>
      </c>
      <c r="E32" s="104">
        <f>IF(Баланс!E15&gt;0.01,Прибыль!E30/Баланс!E15*12/Расчеты!$B$7,"-")</f>
        <v>-24.40782244065617</v>
      </c>
      <c r="F32" s="104">
        <f>IF(Баланс!F15&gt;0.01,Прибыль!F30/Баланс!F15*12/Расчеты!$B$7,"-")</f>
        <v>-7.228630672734617</v>
      </c>
      <c r="G32" s="104">
        <f>IF(Баланс!G15&gt;0.01,Прибыль!G30/Баланс!G15*12/Расчеты!$B$7,"-")</f>
        <v>23.348821879259862</v>
      </c>
      <c r="H32" s="104">
        <f>IF(Баланс!H15&gt;0.01,Прибыль!H30/Баланс!H15*12/Расчеты!$B$7,"-")</f>
        <v>23.818920888320157</v>
      </c>
      <c r="I32" s="104">
        <f>IF(Баланс!I15&gt;0.01,Прибыль!I30/Баланс!I15*12/Расчеты!$B$7,"-")</f>
        <v>40.378431511146545</v>
      </c>
      <c r="J32" s="104">
        <f>IF(Баланс!J15&gt;0.01,Прибыль!J30/Баланс!J15*12/Расчеты!$B$7,"-")</f>
        <v>22.29410313346297</v>
      </c>
      <c r="K32" s="104">
        <f>IF(Баланс!K15&gt;0.01,Прибыль!K30/Баланс!K15*12/Расчеты!$B$7,"-")</f>
        <v>23.577532695113536</v>
      </c>
      <c r="L32" s="104">
        <f>IF(Баланс!L15&gt;0.01,Прибыль!L30/Баланс!L15*12/Расчеты!$B$7,"-")</f>
        <v>60.48606467416931</v>
      </c>
      <c r="M32" s="104">
        <f>IF(Баланс!M15&gt;0.01,Прибыль!M30/Баланс!M15*12/Расчеты!$B$7,"-")</f>
        <v>82.88486489121944</v>
      </c>
      <c r="N32" s="104">
        <f>IF(Баланс!N15&gt;0.01,Прибыль!N30/Баланс!N15*12/Расчеты!$B$7,"-")</f>
        <v>84.78293876217487</v>
      </c>
    </row>
    <row r="33" spans="1:14" ht="12.75" customHeight="1">
      <c r="A33" s="101" t="str">
        <f ca="1">OFFSET(LangBase!A99,0,CURLANGUAGE-1)</f>
        <v>Рентабельность инвестиций</v>
      </c>
      <c r="B33" s="104" t="str">
        <f>IF((Баланс!B24+Баланс!B20)&gt;0.01,Прибыль!B30/(Баланс!B24+Баланс!B20)*12/Расчеты!$B$7,"-")</f>
        <v>-</v>
      </c>
      <c r="C33" s="104" t="str">
        <f>IF((Баланс!C24+Баланс!C20)&gt;0.01,Прибыль!C30/(Баланс!C24+Баланс!C20)*12/Расчеты!$B$7,"-")</f>
        <v>-</v>
      </c>
      <c r="D33" s="104" t="str">
        <f>IF((Баланс!D24+Баланс!D20)&gt;0.01,Прибыль!D30/(Баланс!D24+Баланс!D20)*12/Расчеты!$B$7,"-")</f>
        <v>-</v>
      </c>
      <c r="E33" s="104" t="str">
        <f>IF((Баланс!E24+Баланс!E20)&gt;0.01,Прибыль!E30/(Баланс!E24+Баланс!E20)*12/Расчеты!$B$7,"-")</f>
        <v>-</v>
      </c>
      <c r="F33" s="104" t="str">
        <f>IF((Баланс!F24+Баланс!F20)&gt;0.01,Прибыль!F30/(Баланс!F24+Баланс!F20)*12/Расчеты!$B$7,"-")</f>
        <v>-</v>
      </c>
      <c r="G33" s="104" t="str">
        <f>IF((Баланс!G24+Баланс!G20)&gt;0.01,Прибыль!G30/(Баланс!G24+Баланс!G20)*12/Расчеты!$B$7,"-")</f>
        <v>-</v>
      </c>
      <c r="H33" s="104" t="str">
        <f>IF((Баланс!H24+Баланс!H20)&gt;0.01,Прибыль!H30/(Баланс!H24+Баланс!H20)*12/Расчеты!$B$7,"-")</f>
        <v>-</v>
      </c>
      <c r="I33" s="104" t="str">
        <f>IF((Баланс!I24+Баланс!I20)&gt;0.01,Прибыль!I30/(Баланс!I24+Баланс!I20)*12/Расчеты!$B$7,"-")</f>
        <v>-</v>
      </c>
      <c r="J33" s="104" t="str">
        <f>IF((Баланс!J24+Баланс!J20)&gt;0.01,Прибыль!J30/(Баланс!J24+Баланс!J20)*12/Расчеты!$B$7,"-")</f>
        <v>-</v>
      </c>
      <c r="K33" s="104">
        <f>IF((Баланс!K24+Баланс!K20)&gt;0.01,Прибыль!K30/(Баланс!K24+Баланс!K20)*12/Расчеты!$B$7,"-")</f>
        <v>447.78690653298423</v>
      </c>
      <c r="L33" s="104">
        <f>IF((Баланс!L24+Баланс!L20)&gt;0.01,Прибыль!L30/(Баланс!L24+Баланс!L20)*12/Расчеты!$B$7,"-")</f>
        <v>11.873255270787622</v>
      </c>
      <c r="M33" s="104">
        <f>IF((Баланс!M24+Баланс!M20)&gt;0.01,Прибыль!M30/(Баланс!M24+Баланс!M20)*12/Расчеты!$B$7,"-")</f>
        <v>6.841263367903899</v>
      </c>
      <c r="N33" s="104">
        <f>IF((Баланс!N24+Баланс!N20)&gt;0.01,Прибыль!N30/(Баланс!N24+Баланс!N20)*12/Расчеты!$B$7,"-")</f>
        <v>4.357200406990538</v>
      </c>
    </row>
    <row r="34" spans="1:14" ht="12.75" customHeight="1">
      <c r="A34" s="240" t="str">
        <f ca="1">OFFSET(LangBase!A100,0,CURLANGUAGE-1)</f>
        <v>Коэффициенты деловой активности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</row>
    <row r="35" spans="1:14" ht="12.75" customHeight="1">
      <c r="A35" s="101" t="str">
        <f ca="1">OFFSET(LangBase!A101,0,CURLANGUAGE-1)</f>
        <v>Оборачиваемость рабочего капитала</v>
      </c>
      <c r="B35" s="102" t="str">
        <f>IF(B20&gt;0.01,Прибыль!B2/B20*12/Расчеты!$B$7,"-")</f>
        <v>-</v>
      </c>
      <c r="C35" s="102" t="str">
        <f>IF(C20&gt;0.01,Прибыль!C2/C20*12/Расчеты!$B$7,"-")</f>
        <v>-</v>
      </c>
      <c r="D35" s="102" t="str">
        <f>IF(D20&gt;0.01,Прибыль!D2/D20*12/Расчеты!$B$7,"-")</f>
        <v>-</v>
      </c>
      <c r="E35" s="102" t="str">
        <f>IF(E20&gt;0.01,Прибыль!E2/E20*12/Расчеты!$B$7,"-")</f>
        <v>-</v>
      </c>
      <c r="F35" s="102" t="str">
        <f>IF(F20&gt;0.01,Прибыль!F2/F20*12/Расчеты!$B$7,"-")</f>
        <v>-</v>
      </c>
      <c r="G35" s="102" t="str">
        <f>IF(G20&gt;0.01,Прибыль!G2/G20*12/Расчеты!$B$7,"-")</f>
        <v>-</v>
      </c>
      <c r="H35" s="102" t="str">
        <f>IF(H20&gt;0.01,Прибыль!H2/H20*12/Расчеты!$B$7,"-")</f>
        <v>-</v>
      </c>
      <c r="I35" s="102" t="str">
        <f>IF(I20&gt;0.01,Прибыль!I2/I20*12/Расчеты!$B$7,"-")</f>
        <v>-</v>
      </c>
      <c r="J35" s="102" t="str">
        <f>IF(J20&gt;0.01,Прибыль!J2/J20*12/Расчеты!$B$7,"-")</f>
        <v>-</v>
      </c>
      <c r="K35" s="102" t="str">
        <f>IF(K20&gt;0.01,Прибыль!K2/K20*12/Расчеты!$B$7,"-")</f>
        <v>-</v>
      </c>
      <c r="L35" s="102">
        <f>IF(L20&gt;0.01,Прибыль!L2/L20*12/Расчеты!$B$7,"-")</f>
        <v>29.779479106422233</v>
      </c>
      <c r="M35" s="102">
        <f>IF(M20&gt;0.01,Прибыль!M2/M20*12/Расчеты!$B$7,"-")</f>
        <v>13.148253652360491</v>
      </c>
      <c r="N35" s="102">
        <f>IF(N20&gt;0.01,Прибыль!N2/N20*12/Расчеты!$B$7,"-")</f>
        <v>8.099163243286894</v>
      </c>
    </row>
    <row r="36" spans="1:14" ht="12.75" customHeight="1">
      <c r="A36" s="101" t="str">
        <f ca="1">OFFSET(LangBase!A102,0,CURLANGUAGE-1)</f>
        <v>Оборачиваемость основных средств</v>
      </c>
      <c r="B36" s="102" t="str">
        <f>IF(Баланс!B15&gt;0.01,Прибыль!B2/Баланс!B15*12/Расчеты!$B$7,"-")</f>
        <v>-</v>
      </c>
      <c r="C36" s="102">
        <f>IF(Баланс!C15&gt;0.01,Прибыль!C2/Баланс!C15*12/Расчеты!$B$7,"-")</f>
        <v>0</v>
      </c>
      <c r="D36" s="102">
        <f>IF(Баланс!D15&gt;0.01,Прибыль!D2/Баланс!D15*12/Расчеты!$B$7,"-")</f>
        <v>12.223597422941028</v>
      </c>
      <c r="E36" s="102">
        <f>IF(Баланс!E15&gt;0.01,Прибыль!E2/Баланс!E15*12/Расчеты!$B$7,"-")</f>
        <v>30.07592398656203</v>
      </c>
      <c r="F36" s="102">
        <f>IF(Баланс!F15&gt;0.01,Прибыль!F2/Баланс!F15*12/Расчеты!$B$7,"-")</f>
        <v>51.406385282083505</v>
      </c>
      <c r="G36" s="102">
        <f>IF(Баланс!G15&gt;0.01,Прибыль!G2/Баланс!G15*12/Расчеты!$B$7,"-")</f>
        <v>81.473541274489</v>
      </c>
      <c r="H36" s="102">
        <f>IF(Баланс!H15&gt;0.01,Прибыль!H2/Баланс!H15*12/Расчеты!$B$7,"-")</f>
        <v>92.77831593217911</v>
      </c>
      <c r="I36" s="102">
        <f>IF(Баланс!I15&gt;0.01,Прибыль!I2/Баланс!I15*12/Расчеты!$B$7,"-")</f>
        <v>94.68467209678877</v>
      </c>
      <c r="J36" s="102">
        <f>IF(Баланс!J15&gt;0.01,Прибыль!J2/Баланс!J15*12/Расчеты!$B$7,"-")</f>
        <v>76.53121877923942</v>
      </c>
      <c r="K36" s="102">
        <f>IF(Баланс!K15&gt;0.01,Прибыль!K2/Баланс!K15*12/Расчеты!$B$7,"-")</f>
        <v>78.17113077664466</v>
      </c>
      <c r="L36" s="102">
        <f>IF(Баланс!L15&gt;0.01,Прибыль!L2/Баланс!L15*12/Расчеты!$B$7,"-")</f>
        <v>121.92647331471541</v>
      </c>
      <c r="M36" s="102">
        <f>IF(Баланс!M15&gt;0.01,Прибыль!M2/Баланс!M15*12/Расчеты!$B$7,"-")</f>
        <v>146.14852662424562</v>
      </c>
      <c r="N36" s="102">
        <f>IF(Баланс!N15&gt;0.01,Прибыль!N2/Баланс!N15*12/Расчеты!$B$7,"-")</f>
        <v>149.4953463364836</v>
      </c>
    </row>
    <row r="37" spans="1:14" ht="12.75" customHeight="1">
      <c r="A37" s="101" t="str">
        <f ca="1">OFFSET(LangBase!A103,0,CURLANGUAGE-1)</f>
        <v>Оборачиваемость активов</v>
      </c>
      <c r="B37" s="102">
        <f>IF(Баланс!B16&gt;0.01,Прибыль!B2/Баланс!B16*12/Расчеты!$B$7,"-")</f>
        <v>0</v>
      </c>
      <c r="C37" s="102">
        <f>IF(Баланс!C16&gt;0.01,Прибыль!C2/Баланс!C16*12/Расчеты!$B$7,"-")</f>
        <v>0</v>
      </c>
      <c r="D37" s="102" t="str">
        <f>IF(Баланс!D16&gt;0.01,Прибыль!D2/Баланс!D16*12/Расчеты!$B$7,"-")</f>
        <v>-</v>
      </c>
      <c r="E37" s="102" t="str">
        <f>IF(Баланс!E16&gt;0.01,Прибыль!E2/Баланс!E16*12/Расчеты!$B$7,"-")</f>
        <v>-</v>
      </c>
      <c r="F37" s="102" t="str">
        <f>IF(Баланс!F16&gt;0.01,Прибыль!F2/Баланс!F16*12/Расчеты!$B$7,"-")</f>
        <v>-</v>
      </c>
      <c r="G37" s="102" t="str">
        <f>IF(Баланс!G16&gt;0.01,Прибыль!G2/Баланс!G16*12/Расчеты!$B$7,"-")</f>
        <v>-</v>
      </c>
      <c r="H37" s="102">
        <f>IF(Баланс!H16&gt;0.01,Прибыль!H2/Баланс!H16*12/Расчеты!$B$7,"-")</f>
        <v>78.83448805683358</v>
      </c>
      <c r="I37" s="102">
        <f>IF(Баланс!I16&gt;0.01,Прибыль!I2/Баланс!I16*12/Расчеты!$B$7,"-")</f>
        <v>20.737234238707423</v>
      </c>
      <c r="J37" s="102">
        <f>IF(Баланс!J16&gt;0.01,Прибыль!J2/Баланс!J16*12/Расчеты!$B$7,"-")</f>
        <v>11.738720150396118</v>
      </c>
      <c r="K37" s="102">
        <f>IF(Баланс!K16&gt;0.01,Прибыль!K2/Баланс!K16*12/Расчеты!$B$7,"-")</f>
        <v>26.86491235101417</v>
      </c>
      <c r="L37" s="102">
        <f>IF(Баланс!L16&gt;0.01,Прибыль!L2/Баланс!L16*12/Расчеты!$B$7,"-")</f>
        <v>56.068032650069526</v>
      </c>
      <c r="M37" s="102">
        <f>IF(Баланс!M16&gt;0.01,Прибыль!M2/Баланс!M16*12/Расчеты!$B$7,"-")</f>
        <v>46.24582789066673</v>
      </c>
      <c r="N37" s="102">
        <f>IF(Баланс!N16&gt;0.01,Прибыль!N2/Баланс!N16*12/Расчеты!$B$7,"-")</f>
        <v>14.517115749642791</v>
      </c>
    </row>
    <row r="38" spans="1:14" ht="12.75" customHeight="1">
      <c r="A38" s="101" t="str">
        <f ca="1">OFFSET(LangBase!A104,0,CURLANGUAGE-1)</f>
        <v>Оборачиваемость запасов</v>
      </c>
      <c r="B38" s="102" t="str">
        <f>IF(Баланс!B4&gt;0.01,Прибыль!B3/Баланс!B4*12/Расчеты!$B$7,"-")</f>
        <v>-</v>
      </c>
      <c r="C38" s="102" t="str">
        <f>IF(Баланс!C4&gt;0.01,Прибыль!C3/Баланс!C4*12/Расчеты!$B$7,"-")</f>
        <v>-</v>
      </c>
      <c r="D38" s="102" t="str">
        <f>IF(Баланс!D4&gt;0.01,Прибыль!D3/Баланс!D4*12/Расчеты!$B$7,"-")</f>
        <v>-</v>
      </c>
      <c r="E38" s="102" t="str">
        <f>IF(Баланс!E4&gt;0.01,Прибыль!E3/Баланс!E4*12/Расчеты!$B$7,"-")</f>
        <v>-</v>
      </c>
      <c r="F38" s="102" t="str">
        <f>IF(Баланс!F4&gt;0.01,Прибыль!F3/Баланс!F4*12/Расчеты!$B$7,"-")</f>
        <v>-</v>
      </c>
      <c r="G38" s="102" t="str">
        <f>IF(Баланс!G4&gt;0.01,Прибыль!G3/Баланс!G4*12/Расчеты!$B$7,"-")</f>
        <v>-</v>
      </c>
      <c r="H38" s="102" t="str">
        <f>IF(Баланс!H4&gt;0.01,Прибыль!H3/Баланс!H4*12/Расчеты!$B$7,"-")</f>
        <v>-</v>
      </c>
      <c r="I38" s="102" t="str">
        <f>IF(Баланс!I4&gt;0.01,Прибыль!I3/Баланс!I4*12/Расчеты!$B$7,"-")</f>
        <v>-</v>
      </c>
      <c r="J38" s="102" t="str">
        <f>IF(Баланс!J4&gt;0.01,Прибыль!J3/Баланс!J4*12/Расчеты!$B$7,"-")</f>
        <v>-</v>
      </c>
      <c r="K38" s="102" t="str">
        <f>IF(Баланс!K4&gt;0.01,Прибыль!K3/Баланс!K4*12/Расчеты!$B$7,"-")</f>
        <v>-</v>
      </c>
      <c r="L38" s="102" t="str">
        <f>IF(Баланс!L4&gt;0.01,Прибыль!L3/Баланс!L4*12/Расчеты!$B$7,"-")</f>
        <v>-</v>
      </c>
      <c r="M38" s="102" t="str">
        <f>IF(Баланс!M4&gt;0.01,Прибыль!M3/Баланс!M4*12/Расчеты!$B$7,"-")</f>
        <v>-</v>
      </c>
      <c r="N38" s="102" t="str">
        <f>IF(Баланс!N4&gt;0.01,Прибыль!N3/Баланс!N4*12/Расчеты!$B$7,"-")</f>
        <v>-</v>
      </c>
    </row>
    <row r="39" spans="1:14" ht="12.75" customHeight="1" thickBot="1">
      <c r="A39" s="105" t="str">
        <f ca="1">OFFSET(LangBase!A105,0,CURLANGUAGE-1)</f>
        <v>Оборачиваемость дебит. задолженности (дн.)</v>
      </c>
      <c r="B39" s="106" t="str">
        <f>IF(Баланс!B3&gt;0.01,Баланс!B3/Прибыль!B2*365,"-")</f>
        <v>-</v>
      </c>
      <c r="C39" s="106" t="str">
        <f>IF(Баланс!C3&gt;0.01,Баланс!C3/Прибыль!C2*365,"-")</f>
        <v>-</v>
      </c>
      <c r="D39" s="106">
        <f>IF(Баланс!D3&gt;0.01,Баланс!D3/Прибыль!D2*365,"-")</f>
        <v>24.03658536585366</v>
      </c>
      <c r="E39" s="106">
        <f>IF(Баланс!E3&gt;0.01,Баланс!E3/Прибыль!E2*365,"-")</f>
        <v>19.909090909090907</v>
      </c>
      <c r="F39" s="106">
        <f>IF(Баланс!F3&gt;0.01,Баланс!F3/Прибыль!F2*365,"-")</f>
        <v>11.873493975903614</v>
      </c>
      <c r="G39" s="106">
        <f>IF(Баланс!G3&gt;0.01,Баланс!G3/Прибыль!G2*365,"-")</f>
        <v>7.6395348837209305</v>
      </c>
      <c r="H39" s="106">
        <f>IF(Баланс!H3&gt;0.01,Баланс!H3/Прибыль!H2*365,"-")</f>
        <v>6.84375</v>
      </c>
      <c r="I39" s="106">
        <f>IF(Баланс!I3&gt;0.01,Баланс!I3/Прибыль!I2*365,"-")</f>
        <v>6.84375</v>
      </c>
      <c r="J39" s="106">
        <f>IF(Баланс!J3&gt;0.01,Баланс!J3/Прибыль!J2*365,"-")</f>
        <v>8.644736842105264</v>
      </c>
      <c r="K39" s="106">
        <f>IF(Баланс!K3&gt;0.01,Баланс!K3/Прибыль!K2*365,"-")</f>
        <v>8.644736842105264</v>
      </c>
      <c r="L39" s="106">
        <f>IF(Баланс!L3&gt;0.01,Баланс!L3/Прибыль!L2*365,"-")</f>
        <v>5.663793103448276</v>
      </c>
      <c r="M39" s="106">
        <f>IF(Баланс!M3&gt;0.01,Баланс!M3/Прибыль!M2*365,"-")</f>
        <v>4.830882352941177</v>
      </c>
      <c r="N39" s="106">
        <f>IF(Баланс!N3&gt;0.01,Баланс!N3/Прибыль!N2*365,"-")</f>
        <v>4.830882352941177</v>
      </c>
    </row>
    <row r="40" ht="12.75" customHeight="1"/>
    <row r="41" spans="1:14" ht="12.75" customHeight="1">
      <c r="A41" s="377" t="str">
        <f ca="1">OFFSET(LangBase!A107,0,CURLANGUAGE-1)</f>
        <v>Чистый денежный поток (ЧДП)</v>
      </c>
      <c r="B41" s="103">
        <f>'Кэш-фло'!B8+'Кэш-фло'!B13-'Кэш-фло'!B18</f>
        <v>-95500</v>
      </c>
      <c r="C41" s="103">
        <f>'Кэш-фло'!C8+'Кэш-фло'!C13-'Кэш-фло'!C18</f>
        <v>-1892500</v>
      </c>
      <c r="D41" s="103">
        <f>'Кэш-фло'!D8+'Кэш-фло'!D13-'Кэш-фло'!D18</f>
        <v>-1445025</v>
      </c>
      <c r="E41" s="103">
        <f>'Кэш-фло'!E8+'Кэш-фло'!E13-'Кэш-фло'!E18</f>
        <v>-822925</v>
      </c>
      <c r="F41" s="103">
        <f>'Кэш-фло'!F8+'Кэш-фло'!F13-'Кэш-фло'!F18</f>
        <v>-225925</v>
      </c>
      <c r="G41" s="103">
        <f>'Кэш-фло'!G8+'Кэш-фло'!G13-'Кэш-фло'!G18</f>
        <v>746880.49</v>
      </c>
      <c r="H41" s="103">
        <f>'Кэш-фло'!H8+'Кэш-фло'!H13-'Кэш-фло'!H18</f>
        <v>746880.49</v>
      </c>
      <c r="I41" s="103">
        <f>'Кэш-фло'!I8+'Кэш-фло'!I13-'Кэш-фло'!I18</f>
        <v>1235680.49</v>
      </c>
      <c r="J41" s="103">
        <f>'Кэш-фло'!J8+'Кэш-фло'!J13-'Кэш-фло'!J18</f>
        <v>671680.49</v>
      </c>
      <c r="K41" s="103">
        <f>'Кэш-фло'!K8+'Кэш-фло'!K13-'Кэш-фло'!K18</f>
        <v>695180.49</v>
      </c>
      <c r="L41" s="103">
        <f>'Кэш-фло'!L8+'Кэш-фло'!L13-'Кэш-фло'!L18</f>
        <v>1733880.49</v>
      </c>
      <c r="M41" s="103">
        <f>'Кэш-фло'!M8+'Кэш-фло'!M13-'Кэш-фло'!M18</f>
        <v>2321380.49</v>
      </c>
      <c r="N41" s="103">
        <f>'Кэш-фло'!N8+'Кэш-фло'!N13-'Кэш-фло'!N18</f>
        <v>2321380.49</v>
      </c>
    </row>
    <row r="42" spans="1:14" ht="12.75" customHeight="1">
      <c r="A42" s="378" t="str">
        <f ca="1">OFFSET(LangBase!A108,0,CURLANGUAGE-1)</f>
        <v>Диконтированный ЧДП</v>
      </c>
      <c r="B42" s="107">
        <f>B41/POWER(1+Данные!$B$46,0.0833333*Расчеты!$B$7*Расчеты!B1)</f>
        <v>-94059.99190905369</v>
      </c>
      <c r="C42" s="107">
        <f>C41/POWER(1+Данные!$B$46,0.0833333*Расчеты!$B$7*Расчеты!C1)</f>
        <v>-1835857.7157956064</v>
      </c>
      <c r="D42" s="107">
        <f>D41/POWER(1+Данные!$B$46,0.0833333*Расчеты!$B$7*Расчеты!D1)</f>
        <v>-1380638.7459771356</v>
      </c>
      <c r="E42" s="107">
        <f>E41/POWER(1+Данные!$B$46,0.0833333*Расчеты!$B$7*Расчеты!E1)</f>
        <v>-774402.0928922795</v>
      </c>
      <c r="F42" s="107">
        <f>F41/POWER(1+Данные!$B$46,0.0833333*Расчеты!$B$7*Расчеты!F1)</f>
        <v>-209397.8018157091</v>
      </c>
      <c r="G42" s="107">
        <f>G41/POWER(1+Данные!$B$46,0.0833333*Расчеты!$B$7*Расчеты!G1)</f>
        <v>681805.5117507541</v>
      </c>
      <c r="H42" s="107">
        <f>H41/POWER(1+Данные!$B$46,0.0833333*Расчеты!$B$7*Расчеты!H1)</f>
        <v>671524.8263751218</v>
      </c>
      <c r="I42" s="107">
        <f>I41/POWER(1+Данные!$B$46,0.0833333*Расчеты!$B$7*Расчеты!I1)</f>
        <v>1094255.43776025</v>
      </c>
      <c r="J42" s="107">
        <f>J41/POWER(1+Данные!$B$46,0.0833333*Расчеты!$B$7*Расчеты!J1)</f>
        <v>585837.0347749717</v>
      </c>
      <c r="K42" s="107">
        <f>K41/POWER(1+Данные!$B$46,0.0833333*Расчеты!$B$7*Расчеты!K1)</f>
        <v>597190.966903566</v>
      </c>
      <c r="L42" s="107">
        <f>L41/POWER(1+Данные!$B$46,0.0833333*Расчеты!$B$7*Расчеты!L1)</f>
        <v>1467021.1665819394</v>
      </c>
      <c r="M42" s="107">
        <f>M41/POWER(1+Данные!$B$46,0.0833333*Расчеты!$B$7*Расчеты!M1)</f>
        <v>1934483.882745907</v>
      </c>
      <c r="N42" s="107">
        <f>N41/POWER(1+Данные!$B$46,0.0833333*Расчеты!$B$7*Расчеты!N1)</f>
        <v>1905314.5377934529</v>
      </c>
    </row>
    <row r="43" spans="1:14" ht="12.75" customHeight="1">
      <c r="A43" s="379" t="str">
        <f ca="1">OFFSET(LangBase!A109,0,CURLANGUAGE-1)</f>
        <v>График окупаемости (аккумулированный ДЧДП)</v>
      </c>
      <c r="B43" s="107">
        <f>B42</f>
        <v>-94059.99190905369</v>
      </c>
      <c r="C43" s="107">
        <f>B43+C42</f>
        <v>-1929917.70770466</v>
      </c>
      <c r="D43" s="107">
        <f>C43+D42</f>
        <v>-3310556.453681796</v>
      </c>
      <c r="E43" s="107">
        <f>D43+E42</f>
        <v>-4084958.5465740752</v>
      </c>
      <c r="F43" s="107">
        <f>E43+F42</f>
        <v>-4294356.348389784</v>
      </c>
      <c r="G43" s="107">
        <f>F43+G42</f>
        <v>-3612550.83663903</v>
      </c>
      <c r="H43" s="107">
        <f aca="true" t="shared" si="1" ref="H43:N43">G43+H42</f>
        <v>-2941026.010263908</v>
      </c>
      <c r="I43" s="107">
        <f t="shared" si="1"/>
        <v>-1846770.5725036582</v>
      </c>
      <c r="J43" s="107">
        <f t="shared" si="1"/>
        <v>-1260933.5377286866</v>
      </c>
      <c r="K43" s="107">
        <f t="shared" si="1"/>
        <v>-663742.5708251206</v>
      </c>
      <c r="L43" s="107">
        <f t="shared" si="1"/>
        <v>803278.5957568189</v>
      </c>
      <c r="M43" s="107">
        <f t="shared" si="1"/>
        <v>2737762.4785027257</v>
      </c>
      <c r="N43" s="107">
        <f t="shared" si="1"/>
        <v>4643077.016296178</v>
      </c>
    </row>
    <row r="44" spans="1:3" ht="12.75" customHeight="1">
      <c r="A44" s="380" t="str">
        <f ca="1">OFFSET(LangBase!A110,0,CURLANGUAGE-1)</f>
        <v>Чистая приведенная стоимость: NPV =</v>
      </c>
      <c r="B44" s="385">
        <f ca="1">OFFSET(B43,0,PRJ_DURATION-1)</f>
        <v>4643077.016296178</v>
      </c>
      <c r="C44" s="383" t="str">
        <f>CURRENCY_NAME</f>
        <v>руб.</v>
      </c>
    </row>
    <row r="45" spans="1:3" ht="12.75" customHeight="1">
      <c r="A45" s="381" t="str">
        <f ca="1">OFFSET(LangBase!A111,0,CURLANGUAGE-1)</f>
        <v>Внутренняя норма доходности: IRR =</v>
      </c>
      <c r="B45" s="161">
        <f>Расчеты!C30</f>
        <v>296.430148581991</v>
      </c>
      <c r="C45" s="383" t="s">
        <v>409</v>
      </c>
    </row>
    <row r="46" spans="1:3" ht="12.75" customHeight="1">
      <c r="A46" s="382" t="str">
        <f ca="1">OFFSET(LangBase!A112,0,CURLANGUAGE-1)</f>
        <v>Период окупаемости: PBP =</v>
      </c>
      <c r="B46" s="384">
        <f>Расчеты!C29</f>
        <v>10</v>
      </c>
      <c r="C46" s="153" t="s">
        <v>319</v>
      </c>
    </row>
    <row r="47" ht="12" thickBot="1"/>
    <row r="48" spans="1:14" s="222" customFormat="1" ht="25.5" customHeight="1" thickBot="1">
      <c r="A48" s="200" t="str">
        <f ca="1">OFFSET(LangBase!A127,0,CURLANGUAGE-1)</f>
        <v>ДОХОДЫ УЧАСТНИКОВ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</row>
    <row r="49" spans="2:14" ht="12.7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spans="1:14" ht="12.75" customHeight="1">
      <c r="A50" s="396" t="str">
        <f ca="1">OFFSET(LangBase!A128,0,CURLANGUAGE-1)</f>
        <v>Распределение дивидендов</v>
      </c>
      <c r="B50" s="360" t="str">
        <f>Расчеты!B3</f>
        <v>11/2001</v>
      </c>
      <c r="C50" s="360" t="str">
        <f>Расчеты!C3</f>
        <v>12/2001</v>
      </c>
      <c r="D50" s="360" t="str">
        <f>Расчеты!D3</f>
        <v>1/2002</v>
      </c>
      <c r="E50" s="360" t="str">
        <f>Расчеты!E3</f>
        <v>2/2002</v>
      </c>
      <c r="F50" s="360" t="str">
        <f>Расчеты!F3</f>
        <v>3/2002</v>
      </c>
      <c r="G50" s="360" t="str">
        <f>Расчеты!G3</f>
        <v>4/2002</v>
      </c>
      <c r="H50" s="360" t="str">
        <f>Расчеты!H3</f>
        <v>5/2002</v>
      </c>
      <c r="I50" s="360" t="str">
        <f>Расчеты!I3</f>
        <v>6/2002</v>
      </c>
      <c r="J50" s="360" t="str">
        <f>Расчеты!J3</f>
        <v>7/2002</v>
      </c>
      <c r="K50" s="360" t="str">
        <f>Расчеты!K3</f>
        <v>8/2002</v>
      </c>
      <c r="L50" s="360" t="str">
        <f>Расчеты!L3</f>
        <v>9/2002</v>
      </c>
      <c r="M50" s="360" t="str">
        <f>Расчеты!M3</f>
        <v>10/2002</v>
      </c>
      <c r="N50" s="360" t="str">
        <f>Расчеты!N3</f>
        <v>11/2002</v>
      </c>
    </row>
    <row r="51" spans="1:14" ht="12.75" customHeight="1">
      <c r="A51" s="392" t="str">
        <f>Данные!A268</f>
        <v>Акционер 1</v>
      </c>
      <c r="B51" s="361">
        <f>'Кэш-фло'!B$20*Данные!$C268</f>
        <v>0</v>
      </c>
      <c r="C51" s="361">
        <f>'Кэш-фло'!C$20*Данные!$C268</f>
        <v>0</v>
      </c>
      <c r="D51" s="361">
        <f>'Кэш-фло'!D$20*Данные!$C268</f>
        <v>0</v>
      </c>
      <c r="E51" s="361">
        <f>'Кэш-фло'!E$20*Данные!$C268</f>
        <v>0</v>
      </c>
      <c r="F51" s="361">
        <f>'Кэш-фло'!F$20*Данные!$C268</f>
        <v>0</v>
      </c>
      <c r="G51" s="361">
        <f>'Кэш-фло'!G$20*Данные!$C268</f>
        <v>0</v>
      </c>
      <c r="H51" s="361">
        <f>'Кэш-фло'!H$20*Данные!$C268</f>
        <v>0</v>
      </c>
      <c r="I51" s="361">
        <f>'Кэш-фло'!I$20*Данные!$C268</f>
        <v>0</v>
      </c>
      <c r="J51" s="361">
        <f>'Кэш-фло'!J$20*Данные!$C268</f>
        <v>0</v>
      </c>
      <c r="K51" s="361">
        <f>'Кэш-фло'!K$20*Данные!$C268</f>
        <v>0</v>
      </c>
      <c r="L51" s="361">
        <f>'Кэш-фло'!L$20*Данные!$C268</f>
        <v>0</v>
      </c>
      <c r="M51" s="361">
        <f>'Кэш-фло'!M$20*Данные!$C268</f>
        <v>0</v>
      </c>
      <c r="N51" s="361">
        <f>'Кэш-фло'!N$20*Данные!$C268</f>
        <v>0</v>
      </c>
    </row>
    <row r="52" spans="2:14" ht="12.75" customHeight="1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</row>
    <row r="53" spans="1:14" ht="12.75" customHeight="1">
      <c r="A53" s="396" t="str">
        <f ca="1">OFFSET(LangBase!A129,0,CURLANGUAGE-1)</f>
        <v>Эффективность участия в проекте</v>
      </c>
      <c r="B53" s="362" t="s">
        <v>191</v>
      </c>
      <c r="C53" s="362" t="s">
        <v>192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</row>
    <row r="54" spans="1:14" ht="12.75" customHeight="1">
      <c r="A54" s="392" t="str">
        <f>Данные!A268</f>
        <v>Акционер 1</v>
      </c>
      <c r="B54" s="363" t="str">
        <f ca="1">IF(Данные!C268&gt;0,OFFSET(Inside!E390,0,PRJ_DURATION-1)-Данные!B268,"-")</f>
        <v>-</v>
      </c>
      <c r="C54" s="364" t="str">
        <f ca="1">IF(Данные!C268&gt;0,(POWER(1+IRR(Inside!D393:OFFSET(Inside!E393,0,PRJ_DURATION-1),DISCOUT_FOR_PER),12/PERIOD_LEN)-1)*100,"-")</f>
        <v>-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2:14" ht="12.75" customHeight="1" thickBot="1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</row>
    <row r="56" spans="1:14" s="222" customFormat="1" ht="25.5" customHeight="1" thickBot="1">
      <c r="A56" s="200" t="str">
        <f ca="1">OFFSET(LangBase!A130,0,CURLANGUAGE-1)</f>
        <v>БЮДЖЕТНАЯ ЭФФЕКТИВНОСТЬ ПРОЕКТА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</row>
    <row r="57" spans="2:14" ht="12.75" customHeight="1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ht="12.75" customHeight="1">
      <c r="A58" s="36" t="str">
        <f ca="1">OFFSET(LangBase!A131,0,CURLANGUAGE-1)</f>
        <v>Ставка дисконтирования доходов бюджета:</v>
      </c>
      <c r="B58" s="160">
        <f>WACC</f>
        <v>0.2</v>
      </c>
      <c r="C58" s="159" t="s">
        <v>27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</row>
    <row r="59" spans="2:14" ht="12.75" customHeight="1" thickBot="1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4" s="241" customFormat="1" ht="12.75" customHeight="1" thickBot="1">
      <c r="A60" s="242" t="str">
        <f ca="1">OFFSET(LangBase!A132,0,CURLANGUAGE-1)</f>
        <v>Доходы бюджета</v>
      </c>
      <c r="B60" s="243" t="str">
        <f>Данные!C124</f>
        <v>11/2001</v>
      </c>
      <c r="C60" s="243" t="str">
        <f>Данные!D124</f>
        <v>12/2001</v>
      </c>
      <c r="D60" s="243" t="str">
        <f>Данные!E124</f>
        <v>1/2002</v>
      </c>
      <c r="E60" s="243" t="str">
        <f>Данные!F124</f>
        <v>2/2002</v>
      </c>
      <c r="F60" s="243" t="str">
        <f>Данные!G124</f>
        <v>3/2002</v>
      </c>
      <c r="G60" s="243" t="str">
        <f>Данные!H124</f>
        <v>4/2002</v>
      </c>
      <c r="H60" s="243" t="str">
        <f>Данные!I124</f>
        <v>5/2002</v>
      </c>
      <c r="I60" s="243" t="str">
        <f>Данные!J124</f>
        <v>6/2002</v>
      </c>
      <c r="J60" s="243" t="str">
        <f>Данные!K124</f>
        <v>7/2002</v>
      </c>
      <c r="K60" s="243" t="str">
        <f>Данные!L124</f>
        <v>8/2002</v>
      </c>
      <c r="L60" s="243" t="str">
        <f>Данные!M124</f>
        <v>9/2002</v>
      </c>
      <c r="M60" s="243" t="str">
        <f>Данные!N124</f>
        <v>10/2002</v>
      </c>
      <c r="N60" s="243" t="str">
        <f>Данные!O124</f>
        <v>11/2002</v>
      </c>
    </row>
    <row r="61" spans="1:14" ht="12.75" customHeight="1">
      <c r="A61" s="109" t="str">
        <f ca="1">OFFSET(LangBase!A133,0,CURLANGUAGE-1)</f>
        <v>Налог на прибыль</v>
      </c>
      <c r="B61" s="110">
        <f>Прибыль!B29</f>
        <v>0</v>
      </c>
      <c r="C61" s="110">
        <f>Прибыль!C29</f>
        <v>0</v>
      </c>
      <c r="D61" s="110">
        <f>Прибыль!D29</f>
        <v>0</v>
      </c>
      <c r="E61" s="110">
        <f>Прибыль!E29</f>
        <v>0</v>
      </c>
      <c r="F61" s="110">
        <f>Прибыль!F29</f>
        <v>0</v>
      </c>
      <c r="G61" s="110">
        <f>Прибыль!G29</f>
        <v>47194.509999999995</v>
      </c>
      <c r="H61" s="110">
        <f>Прибыль!H29</f>
        <v>47194.509999999995</v>
      </c>
      <c r="I61" s="110">
        <f>Прибыль!I29</f>
        <v>78394.51</v>
      </c>
      <c r="J61" s="110">
        <f>Прибыль!J29</f>
        <v>42394.509999999995</v>
      </c>
      <c r="K61" s="110">
        <f>Прибыль!K29</f>
        <v>43894.509999999995</v>
      </c>
      <c r="L61" s="110">
        <f>Прибыль!L29</f>
        <v>110194.51</v>
      </c>
      <c r="M61" s="110">
        <f>Прибыль!M29</f>
        <v>147694.50999999998</v>
      </c>
      <c r="N61" s="110">
        <f>Прибыль!N29</f>
        <v>147694.50999999998</v>
      </c>
    </row>
    <row r="62" spans="1:14" ht="12.75" customHeight="1">
      <c r="A62" s="63" t="str">
        <f ca="1">OFFSET(LangBase!A134,0,CURLANGUAGE-1)</f>
        <v>Налог на добавленную стоимость</v>
      </c>
      <c r="B62" s="111">
        <f>Inside!E4</f>
        <v>0</v>
      </c>
      <c r="C62" s="111">
        <f>Inside!F4</f>
        <v>0</v>
      </c>
      <c r="D62" s="111">
        <f>Inside!G4</f>
        <v>0</v>
      </c>
      <c r="E62" s="111">
        <f>Inside!H4</f>
        <v>0</v>
      </c>
      <c r="F62" s="111">
        <f>Inside!I4</f>
        <v>0</v>
      </c>
      <c r="G62" s="111">
        <f>Inside!J4</f>
        <v>0</v>
      </c>
      <c r="H62" s="111">
        <f>Inside!K4</f>
        <v>0</v>
      </c>
      <c r="I62" s="111">
        <f>Inside!L4</f>
        <v>0</v>
      </c>
      <c r="J62" s="111">
        <f>Inside!M4</f>
        <v>0</v>
      </c>
      <c r="K62" s="111">
        <f>Inside!N4</f>
        <v>0</v>
      </c>
      <c r="L62" s="111">
        <f>Inside!O4</f>
        <v>0</v>
      </c>
      <c r="M62" s="111">
        <f>Inside!P4</f>
        <v>0</v>
      </c>
      <c r="N62" s="111">
        <f>Inside!Q4</f>
        <v>0</v>
      </c>
    </row>
    <row r="63" spans="1:14" ht="12.75" customHeight="1">
      <c r="A63" s="63" t="str">
        <f ca="1">OFFSET(LangBase!A135,0,CURLANGUAGE-1)</f>
        <v>Налог на имущество</v>
      </c>
      <c r="B63" s="111">
        <f>Прибыль!B8</f>
        <v>0</v>
      </c>
      <c r="C63" s="111">
        <f>Прибыль!C8</f>
        <v>0</v>
      </c>
      <c r="D63" s="111">
        <f>Прибыль!D8</f>
        <v>0</v>
      </c>
      <c r="E63" s="111">
        <f>Прибыль!E8</f>
        <v>0</v>
      </c>
      <c r="F63" s="111">
        <f>Прибыль!F8</f>
        <v>0</v>
      </c>
      <c r="G63" s="111">
        <f>Прибыль!G8</f>
        <v>0</v>
      </c>
      <c r="H63" s="111">
        <f>Прибыль!H8</f>
        <v>0</v>
      </c>
      <c r="I63" s="111">
        <f>Прибыль!I8</f>
        <v>0</v>
      </c>
      <c r="J63" s="111">
        <f>Прибыль!J8</f>
        <v>0</v>
      </c>
      <c r="K63" s="111">
        <f>Прибыль!K8</f>
        <v>0</v>
      </c>
      <c r="L63" s="111">
        <f>Прибыль!L8</f>
        <v>0</v>
      </c>
      <c r="M63" s="111">
        <f>Прибыль!M8</f>
        <v>0</v>
      </c>
      <c r="N63" s="111">
        <f>Прибыль!N8</f>
        <v>0</v>
      </c>
    </row>
    <row r="64" spans="1:14" ht="12.75" customHeight="1">
      <c r="A64" s="63" t="str">
        <f ca="1">OFFSET(LangBase!A136,0,CURLANGUAGE-1)</f>
        <v>Налоги с оборота</v>
      </c>
      <c r="B64" s="111">
        <f>Прибыль!B6</f>
        <v>0</v>
      </c>
      <c r="C64" s="111">
        <f>Прибыль!C6</f>
        <v>0</v>
      </c>
      <c r="D64" s="111">
        <f>Прибыль!D6</f>
        <v>0</v>
      </c>
      <c r="E64" s="111">
        <f>Прибыль!E6</f>
        <v>0</v>
      </c>
      <c r="F64" s="111">
        <f>Прибыль!F6</f>
        <v>0</v>
      </c>
      <c r="G64" s="111">
        <f>Прибыль!G6</f>
        <v>0</v>
      </c>
      <c r="H64" s="111">
        <f>Прибыль!H6</f>
        <v>0</v>
      </c>
      <c r="I64" s="111">
        <f>Прибыль!I6</f>
        <v>0</v>
      </c>
      <c r="J64" s="111">
        <f>Прибыль!J6</f>
        <v>0</v>
      </c>
      <c r="K64" s="111">
        <f>Прибыль!K6</f>
        <v>0</v>
      </c>
      <c r="L64" s="111">
        <f>Прибыль!L6</f>
        <v>0</v>
      </c>
      <c r="M64" s="111">
        <f>Прибыль!M6</f>
        <v>0</v>
      </c>
      <c r="N64" s="111">
        <f>Прибыль!N6</f>
        <v>0</v>
      </c>
    </row>
    <row r="65" spans="1:14" ht="12.75" customHeight="1">
      <c r="A65" s="68" t="str">
        <f ca="1">OFFSET(LangBase!A137,0,CURLANGUAGE-1)</f>
        <v>Социальные отчисления с зарплаты</v>
      </c>
      <c r="B65" s="111">
        <f>'Кэш-фло'!B6/(1+Данные!$B$32)*Данные!$B$32</f>
        <v>0</v>
      </c>
      <c r="C65" s="111">
        <f>'Кэш-фло'!C6/(1+Данные!$B$32)*Данные!$B$32</f>
        <v>0</v>
      </c>
      <c r="D65" s="111">
        <f>'Кэш-фло'!D6/(1+Данные!$B$32)*Данные!$B$32</f>
        <v>140525</v>
      </c>
      <c r="E65" s="111">
        <f>'Кэш-фло'!E6/(1+Данные!$B$32)*Данные!$B$32</f>
        <v>308425</v>
      </c>
      <c r="F65" s="111">
        <f>'Кэш-фло'!F6/(1+Данные!$B$32)*Данные!$B$32</f>
        <v>308425</v>
      </c>
      <c r="G65" s="111">
        <f>'Кэш-фло'!G6/(1+Данные!$B$32)*Данные!$B$32</f>
        <v>308425</v>
      </c>
      <c r="H65" s="111">
        <f>'Кэш-фло'!H6/(1+Данные!$B$32)*Данные!$B$32</f>
        <v>308425</v>
      </c>
      <c r="I65" s="111">
        <f>'Кэш-фло'!I6/(1+Данные!$B$32)*Данные!$B$32</f>
        <v>308425</v>
      </c>
      <c r="J65" s="111">
        <f>'Кэш-фло'!J6/(1+Данные!$B$32)*Данные!$B$32</f>
        <v>308425</v>
      </c>
      <c r="K65" s="111">
        <f>'Кэш-фло'!K6/(1+Данные!$B$32)*Данные!$B$32</f>
        <v>308425</v>
      </c>
      <c r="L65" s="111">
        <f>'Кэш-фло'!L6/(1+Данные!$B$32)*Данные!$B$32</f>
        <v>308425</v>
      </c>
      <c r="M65" s="111">
        <f>'Кэш-фло'!M6/(1+Данные!$B$32)*Данные!$B$32</f>
        <v>308425</v>
      </c>
      <c r="N65" s="111">
        <f>'Кэш-фло'!N6/(1+Данные!$B$32)*Данные!$B$32</f>
        <v>308425</v>
      </c>
    </row>
    <row r="66" spans="1:14" s="244" customFormat="1" ht="12.75" customHeight="1">
      <c r="A66" s="112" t="str">
        <f ca="1">OFFSET(LangBase!A138,0,CURLANGUAGE-1)</f>
        <v>Суммарные налоговые поступления</v>
      </c>
      <c r="B66" s="113">
        <f aca="true" t="shared" si="2" ref="B66:G66">SUM(B61:B65)</f>
        <v>0</v>
      </c>
      <c r="C66" s="113">
        <f t="shared" si="2"/>
        <v>0</v>
      </c>
      <c r="D66" s="113">
        <f t="shared" si="2"/>
        <v>140525</v>
      </c>
      <c r="E66" s="113">
        <f t="shared" si="2"/>
        <v>308425</v>
      </c>
      <c r="F66" s="113">
        <f t="shared" si="2"/>
        <v>308425</v>
      </c>
      <c r="G66" s="113">
        <f t="shared" si="2"/>
        <v>355619.51</v>
      </c>
      <c r="H66" s="113">
        <f aca="true" t="shared" si="3" ref="H66:N66">SUM(H61:H65)</f>
        <v>355619.51</v>
      </c>
      <c r="I66" s="113">
        <f t="shared" si="3"/>
        <v>386819.51</v>
      </c>
      <c r="J66" s="113">
        <f t="shared" si="3"/>
        <v>350819.51</v>
      </c>
      <c r="K66" s="113">
        <f t="shared" si="3"/>
        <v>352319.51</v>
      </c>
      <c r="L66" s="113">
        <f t="shared" si="3"/>
        <v>418619.51</v>
      </c>
      <c r="M66" s="113">
        <f t="shared" si="3"/>
        <v>456119.51</v>
      </c>
      <c r="N66" s="113">
        <f t="shared" si="3"/>
        <v>456119.51</v>
      </c>
    </row>
    <row r="67" spans="1:14" ht="12.75" customHeight="1" thickBot="1">
      <c r="A67" s="105" t="str">
        <f ca="1">OFFSET(LangBase!A139,0,CURLANGUAGE-1)</f>
        <v>Дисконтированные налоговые поступления</v>
      </c>
      <c r="B67" s="114">
        <f>B66/POWER(1+$B$58,0.0833333*Расчеты!$B$7*Расчеты!B1)</f>
        <v>0</v>
      </c>
      <c r="C67" s="114">
        <f>C66/POWER(1+$B$58,0.0833333*Расчеты!$B$7*Расчеты!C1)</f>
        <v>0</v>
      </c>
      <c r="D67" s="114">
        <f>D66/POWER(1+$B$58,0.0833333*Расчеты!$B$7*Расчеты!D1)</f>
        <v>134263.6008224335</v>
      </c>
      <c r="E67" s="114">
        <f>E66/POWER(1+$B$58,0.0833333*Расчеты!$B$7*Расчеты!E1)</f>
        <v>290239.04426320904</v>
      </c>
      <c r="F67" s="114">
        <f>F66/POWER(1+$B$58,0.0833333*Расчеты!$B$7*Расчеты!F1)</f>
        <v>285862.6403674232</v>
      </c>
      <c r="G67" s="114">
        <f>G66/POWER(1+$B$58,0.0833333*Расчеты!$B$7*Расчеты!G1)</f>
        <v>324634.7243641381</v>
      </c>
      <c r="H67" s="114">
        <f>H66/POWER(1+$B$58,0.0833333*Расчеты!$B$7*Расчеты!H1)</f>
        <v>319739.6811213477</v>
      </c>
      <c r="I67" s="114">
        <f>I66/POWER(1+$B$58,0.0833333*Расчеты!$B$7*Расчеты!I1)</f>
        <v>342547.572511447</v>
      </c>
      <c r="J67" s="114">
        <f>J66/POWER(1+$B$58,0.0833333*Расчеты!$B$7*Расчеты!J1)</f>
        <v>305983.3723614758</v>
      </c>
      <c r="K67" s="114">
        <f>K66/POWER(1+$B$58,0.0833333*Расчеты!$B$7*Расчеты!K1)</f>
        <v>302658.1324741875</v>
      </c>
      <c r="L67" s="114">
        <f>L66/POWER(1+$B$58,0.0833333*Расчеты!$B$7*Расчеты!L1)</f>
        <v>354190.3178771911</v>
      </c>
      <c r="M67" s="114">
        <f>M66/POWER(1+$B$58,0.0833333*Расчеты!$B$7*Расчеты!M1)</f>
        <v>380099.6193868074</v>
      </c>
      <c r="N67" s="114">
        <f>N66/POWER(1+$B$58,0.0833333*Расчеты!$B$7*Расчеты!N1)</f>
        <v>374368.24213777477</v>
      </c>
    </row>
    <row r="68" spans="2:14" ht="12.75" customHeight="1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1:14" ht="12.75" customHeight="1">
      <c r="A69" s="36" t="str">
        <f ca="1">OFFSET(LangBase!A140,0,CURLANGUAGE-1)</f>
        <v>Дисконтированные доходы бюджета:</v>
      </c>
      <c r="B69" s="158">
        <f ca="1">SUM(B67:OFFSET(B67,0,PRJ_DURATION-1))</f>
        <v>3414586.9476874354</v>
      </c>
      <c r="C69" s="115" t="str">
        <f>CURRENCY_NAME</f>
        <v>руб.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ht="10.5">
      <c r="B70" s="116"/>
    </row>
  </sheetData>
  <sheetProtection sheet="1" objects="1" scenarios="1"/>
  <printOptions/>
  <pageMargins left="0.3937007874015748" right="0.3937007874015748" top="0.984251968503937" bottom="0.984251968503937" header="0.5118110236220472" footer="0.5118110236220472"/>
  <pageSetup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31">
      <selection activeCell="H69" sqref="H69"/>
    </sheetView>
  </sheetViews>
  <sheetFormatPr defaultColWidth="8.75390625" defaultRowHeight="12.75"/>
  <sheetData>
    <row r="2" spans="1:9" ht="12.75">
      <c r="A2" s="223" t="s">
        <v>64</v>
      </c>
      <c r="B2" s="183"/>
      <c r="C2" s="183"/>
      <c r="D2" s="183"/>
      <c r="E2" s="183"/>
      <c r="F2" s="183"/>
      <c r="G2" s="183"/>
      <c r="H2" s="183"/>
      <c r="I2" s="224"/>
    </row>
    <row r="3" spans="1:9" ht="12.75">
      <c r="A3" s="117"/>
      <c r="B3" s="118"/>
      <c r="C3" s="118"/>
      <c r="D3" s="118"/>
      <c r="E3" s="118"/>
      <c r="F3" s="118"/>
      <c r="G3" s="118"/>
      <c r="H3" s="118"/>
      <c r="I3" s="119"/>
    </row>
    <row r="26" spans="1:9" ht="12.75">
      <c r="A26" s="223" t="s">
        <v>65</v>
      </c>
      <c r="B26" s="183"/>
      <c r="C26" s="183"/>
      <c r="D26" s="183"/>
      <c r="E26" s="183"/>
      <c r="F26" s="183"/>
      <c r="G26" s="183"/>
      <c r="H26" s="183"/>
      <c r="I26" s="224"/>
    </row>
    <row r="48" spans="1:9" ht="12.75">
      <c r="A48" s="223" t="s">
        <v>66</v>
      </c>
      <c r="B48" s="183"/>
      <c r="C48" s="183"/>
      <c r="D48" s="183"/>
      <c r="E48" s="183"/>
      <c r="F48" s="183"/>
      <c r="G48" s="183"/>
      <c r="H48" s="183"/>
      <c r="I48" s="224"/>
    </row>
  </sheetData>
  <sheetProtection/>
  <printOptions/>
  <pageMargins left="0.75" right="0.75" top="1" bottom="1" header="0.5" footer="0.5"/>
  <pageSetup horizontalDpi="300" verticalDpi="300" orientation="portrait" paperSize="9"/>
  <rowBreaks count="1" manualBreakCount="1">
    <brk id="4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94"/>
  <sheetViews>
    <sheetView zoomScalePageLayoutView="0" workbookViewId="0" topLeftCell="A1">
      <selection activeCell="A334" sqref="A334:IV334"/>
    </sheetView>
  </sheetViews>
  <sheetFormatPr defaultColWidth="9.125" defaultRowHeight="12.75"/>
  <cols>
    <col min="1" max="1" width="7.625" style="51" customWidth="1"/>
    <col min="2" max="2" width="7.75390625" style="51" customWidth="1"/>
    <col min="3" max="16384" width="9.125" style="51" customWidth="1"/>
  </cols>
  <sheetData>
    <row r="2" spans="1:17" s="298" customFormat="1" ht="10.5">
      <c r="A2" s="298" t="s">
        <v>14</v>
      </c>
      <c r="D2" s="299"/>
      <c r="E2" s="375">
        <f aca="true" t="shared" si="0" ref="E2:Q2">E28-E65-E311-E321-E335-E109-E115-E119-E126-E132</f>
        <v>0</v>
      </c>
      <c r="F2" s="375">
        <f t="shared" si="0"/>
        <v>0</v>
      </c>
      <c r="G2" s="375">
        <f t="shared" si="0"/>
        <v>0</v>
      </c>
      <c r="H2" s="375">
        <f t="shared" si="0"/>
        <v>0</v>
      </c>
      <c r="I2" s="375">
        <f t="shared" si="0"/>
        <v>0</v>
      </c>
      <c r="J2" s="375">
        <f t="shared" si="0"/>
        <v>0</v>
      </c>
      <c r="K2" s="375">
        <f t="shared" si="0"/>
        <v>0</v>
      </c>
      <c r="L2" s="375">
        <f t="shared" si="0"/>
        <v>0</v>
      </c>
      <c r="M2" s="375">
        <f t="shared" si="0"/>
        <v>0</v>
      </c>
      <c r="N2" s="375">
        <f t="shared" si="0"/>
        <v>0</v>
      </c>
      <c r="O2" s="375">
        <f t="shared" si="0"/>
        <v>0</v>
      </c>
      <c r="P2" s="375">
        <f t="shared" si="0"/>
        <v>0</v>
      </c>
      <c r="Q2" s="375">
        <f t="shared" si="0"/>
        <v>0</v>
      </c>
    </row>
    <row r="3" spans="1:17" s="347" customFormat="1" ht="10.5">
      <c r="A3" s="228" t="s">
        <v>216</v>
      </c>
      <c r="B3" s="228"/>
      <c r="C3" s="228"/>
      <c r="D3" s="297"/>
      <c r="E3" s="376">
        <f>IF(AND(E2&lt;0,VAT_REPAY=1),-E2,0)</f>
        <v>0</v>
      </c>
      <c r="F3" s="376">
        <f aca="true" t="shared" si="1" ref="F3:Q3">E3+IF(AND(E2&lt;0,VAT_REPAY=1),-F2,0)</f>
        <v>0</v>
      </c>
      <c r="G3" s="376">
        <f t="shared" si="1"/>
        <v>0</v>
      </c>
      <c r="H3" s="376">
        <f t="shared" si="1"/>
        <v>0</v>
      </c>
      <c r="I3" s="376">
        <f t="shared" si="1"/>
        <v>0</v>
      </c>
      <c r="J3" s="376">
        <f t="shared" si="1"/>
        <v>0</v>
      </c>
      <c r="K3" s="376">
        <f t="shared" si="1"/>
        <v>0</v>
      </c>
      <c r="L3" s="376">
        <f t="shared" si="1"/>
        <v>0</v>
      </c>
      <c r="M3" s="376">
        <f t="shared" si="1"/>
        <v>0</v>
      </c>
      <c r="N3" s="376">
        <f t="shared" si="1"/>
        <v>0</v>
      </c>
      <c r="O3" s="376">
        <f t="shared" si="1"/>
        <v>0</v>
      </c>
      <c r="P3" s="376">
        <f t="shared" si="1"/>
        <v>0</v>
      </c>
      <c r="Q3" s="376">
        <f t="shared" si="1"/>
        <v>0</v>
      </c>
    </row>
    <row r="4" spans="1:17" s="347" customFormat="1" ht="10.5">
      <c r="A4" s="228" t="s">
        <v>217</v>
      </c>
      <c r="B4" s="228"/>
      <c r="C4" s="228"/>
      <c r="D4" s="297"/>
      <c r="E4" s="376">
        <f>IF(VAT_REPAY=1,MAX(E2,0),E2)</f>
        <v>0</v>
      </c>
      <c r="F4" s="376">
        <f aca="true" t="shared" si="2" ref="F4:Q4">IF(VAT_REPAY=1,MAX(F2-E3,0),F2)</f>
        <v>0</v>
      </c>
      <c r="G4" s="376">
        <f t="shared" si="2"/>
        <v>0</v>
      </c>
      <c r="H4" s="376">
        <f t="shared" si="2"/>
        <v>0</v>
      </c>
      <c r="I4" s="376">
        <f t="shared" si="2"/>
        <v>0</v>
      </c>
      <c r="J4" s="376">
        <f t="shared" si="2"/>
        <v>0</v>
      </c>
      <c r="K4" s="376">
        <f t="shared" si="2"/>
        <v>0</v>
      </c>
      <c r="L4" s="376">
        <f t="shared" si="2"/>
        <v>0</v>
      </c>
      <c r="M4" s="376">
        <f t="shared" si="2"/>
        <v>0</v>
      </c>
      <c r="N4" s="376">
        <f t="shared" si="2"/>
        <v>0</v>
      </c>
      <c r="O4" s="376">
        <f t="shared" si="2"/>
        <v>0</v>
      </c>
      <c r="P4" s="376">
        <f t="shared" si="2"/>
        <v>0</v>
      </c>
      <c r="Q4" s="376">
        <f t="shared" si="2"/>
        <v>0</v>
      </c>
    </row>
    <row r="5" spans="1:17" s="347" customFormat="1" ht="10.5">
      <c r="A5" s="228" t="s">
        <v>369</v>
      </c>
      <c r="B5" s="228"/>
      <c r="C5" s="228"/>
      <c r="D5" s="297"/>
      <c r="E5" s="376">
        <f>SUM($E51:E51)-SUM($E72:E72)-SUM($E65:E65)</f>
        <v>0</v>
      </c>
      <c r="F5" s="376">
        <f>SUM($E51:F51)-SUM($E72:F72)-SUM($E65:F65)</f>
        <v>0</v>
      </c>
      <c r="G5" s="376">
        <f>SUM($E51:G51)-SUM($E72:G72)-SUM($E65:G65)</f>
        <v>0</v>
      </c>
      <c r="H5" s="376">
        <f>SUM($E51:H51)-SUM($E72:H72)-SUM($E65:H65)</f>
        <v>0</v>
      </c>
      <c r="I5" s="376">
        <f>SUM($E51:I51)-SUM($E72:I72)-SUM($E65:I65)</f>
        <v>0</v>
      </c>
      <c r="J5" s="376">
        <f>SUM($E51:J51)-SUM($E72:J72)-SUM($E65:J65)</f>
        <v>0</v>
      </c>
      <c r="K5" s="376">
        <f>SUM($E51:K51)-SUM($E72:K72)-SUM($E65:K65)</f>
        <v>0</v>
      </c>
      <c r="L5" s="376">
        <f>SUM($E51:L51)-SUM($E72:L72)-SUM($E65:L65)</f>
        <v>0</v>
      </c>
      <c r="M5" s="376">
        <f>SUM($E51:M51)-SUM($E72:M72)-SUM($E65:M65)</f>
        <v>0</v>
      </c>
      <c r="N5" s="376">
        <f>SUM($E51:N51)-SUM($E72:N72)-SUM($E65:N65)</f>
        <v>0</v>
      </c>
      <c r="O5" s="376">
        <f>SUM($E51:O51)-SUM($E72:O72)-SUM($E65:O65)</f>
        <v>0</v>
      </c>
      <c r="P5" s="376">
        <f>SUM($E51:P51)-SUM($E72:P72)-SUM($E65:P65)</f>
        <v>0</v>
      </c>
      <c r="Q5" s="376">
        <f>SUM($E51:Q51)-SUM($E72:Q72)-SUM($E65:Q65)</f>
        <v>0</v>
      </c>
    </row>
    <row r="7" spans="1:3" ht="10.5">
      <c r="A7" s="343" t="s">
        <v>95</v>
      </c>
      <c r="B7" s="343" t="s">
        <v>96</v>
      </c>
      <c r="C7" s="343" t="s">
        <v>97</v>
      </c>
    </row>
    <row r="8" spans="1:5" s="298" customFormat="1" ht="10.5">
      <c r="A8" s="298" t="s">
        <v>92</v>
      </c>
      <c r="D8" s="299"/>
      <c r="E8" s="298" t="s">
        <v>93</v>
      </c>
    </row>
    <row r="9" spans="1:17" ht="10.5">
      <c r="A9" s="51">
        <v>-1</v>
      </c>
      <c r="B9" s="51">
        <v>-1</v>
      </c>
      <c r="C9" s="51">
        <v>3</v>
      </c>
      <c r="D9" s="297">
        <v>-1</v>
      </c>
      <c r="E9" s="390">
        <f>Производство!B34/(1+$C16)*(SALES_TAX+IF($B9&gt;0,$B9,0))</f>
        <v>0</v>
      </c>
      <c r="F9" s="390">
        <f>Производство!C34/(1+$C16)*(SALES_TAX+IF($B9&gt;0,$B9,0))</f>
        <v>0</v>
      </c>
      <c r="G9" s="390">
        <f>Производство!D34/(1+$C16)*(SALES_TAX+IF($B9&gt;0,$B9,0))</f>
        <v>0</v>
      </c>
      <c r="H9" s="390">
        <f>Производство!E34/(1+$C16)*(SALES_TAX+IF($B9&gt;0,$B9,0))</f>
        <v>0</v>
      </c>
      <c r="I9" s="390">
        <f>Производство!F34/(1+$C16)*(SALES_TAX+IF($B9&gt;0,$B9,0))</f>
        <v>0</v>
      </c>
      <c r="J9" s="390">
        <f>Производство!G34/(1+$C16)*(SALES_TAX+IF($B9&gt;0,$B9,0))</f>
        <v>0</v>
      </c>
      <c r="K9" s="390">
        <f>Производство!H34/(1+$C16)*(SALES_TAX+IF($B9&gt;0,$B9,0))</f>
        <v>0</v>
      </c>
      <c r="L9" s="390">
        <f>Производство!I34/(1+$C16)*(SALES_TAX+IF($B9&gt;0,$B9,0))</f>
        <v>0</v>
      </c>
      <c r="M9" s="390">
        <f>Производство!J34/(1+$C16)*(SALES_TAX+IF($B9&gt;0,$B9,0))</f>
        <v>0</v>
      </c>
      <c r="N9" s="390">
        <f>Производство!K34/(1+$C16)*(SALES_TAX+IF($B9&gt;0,$B9,0))</f>
        <v>0</v>
      </c>
      <c r="O9" s="390">
        <f>Производство!L34/(1+$C16)*(SALES_TAX+IF($B9&gt;0,$B9,0))</f>
        <v>0</v>
      </c>
      <c r="P9" s="390">
        <f>Производство!M34/(1+$C16)*(SALES_TAX+IF($B9&gt;0,$B9,0))</f>
        <v>0</v>
      </c>
      <c r="Q9" s="390">
        <f>Производство!N34/(1+$C16)*(SALES_TAX+IF($B9&gt;0,$B9,0))</f>
        <v>0</v>
      </c>
    </row>
    <row r="10" spans="1:17" ht="10.5">
      <c r="A10" s="51">
        <v>-1</v>
      </c>
      <c r="B10" s="51">
        <v>-1</v>
      </c>
      <c r="C10" s="51">
        <v>-1</v>
      </c>
      <c r="D10" s="297">
        <v>-1</v>
      </c>
      <c r="E10" s="390">
        <f>Производство!B35/(1+$C17)*(SALES_TAX+IF($B10&gt;0,$B10,0))</f>
        <v>0</v>
      </c>
      <c r="F10" s="390">
        <f>Производство!C35/(1+$C17)*(SALES_TAX+IF($B10&gt;0,$B10,0))</f>
        <v>0</v>
      </c>
      <c r="G10" s="390">
        <f>Производство!D35/(1+$C17)*(SALES_TAX+IF($B10&gt;0,$B10,0))</f>
        <v>0</v>
      </c>
      <c r="H10" s="390">
        <f>Производство!E35/(1+$C17)*(SALES_TAX+IF($B10&gt;0,$B10,0))</f>
        <v>0</v>
      </c>
      <c r="I10" s="390">
        <f>Производство!F35/(1+$C17)*(SALES_TAX+IF($B10&gt;0,$B10,0))</f>
        <v>0</v>
      </c>
      <c r="J10" s="390">
        <f>Производство!G35/(1+$C17)*(SALES_TAX+IF($B10&gt;0,$B10,0))</f>
        <v>0</v>
      </c>
      <c r="K10" s="390">
        <f>Производство!H35/(1+$C17)*(SALES_TAX+IF($B10&gt;0,$B10,0))</f>
        <v>0</v>
      </c>
      <c r="L10" s="390">
        <f>Производство!I35/(1+$C17)*(SALES_TAX+IF($B10&gt;0,$B10,0))</f>
        <v>0</v>
      </c>
      <c r="M10" s="390">
        <f>Производство!J35/(1+$C17)*(SALES_TAX+IF($B10&gt;0,$B10,0))</f>
        <v>0</v>
      </c>
      <c r="N10" s="390">
        <f>Производство!K35/(1+$C17)*(SALES_TAX+IF($B10&gt;0,$B10,0))</f>
        <v>0</v>
      </c>
      <c r="O10" s="390">
        <f>Производство!L35/(1+$C17)*(SALES_TAX+IF($B10&gt;0,$B10,0))</f>
        <v>0</v>
      </c>
      <c r="P10" s="390">
        <f>Производство!M35/(1+$C17)*(SALES_TAX+IF($B10&gt;0,$B10,0))</f>
        <v>0</v>
      </c>
      <c r="Q10" s="390">
        <f>Производство!N35/(1+$C17)*(SALES_TAX+IF($B10&gt;0,$B10,0))</f>
        <v>0</v>
      </c>
    </row>
    <row r="11" spans="1:17" ht="10.5">
      <c r="A11" s="51">
        <v>-1</v>
      </c>
      <c r="B11" s="51">
        <v>-1</v>
      </c>
      <c r="C11" s="51">
        <v>-1</v>
      </c>
      <c r="D11" s="297">
        <v>-1</v>
      </c>
      <c r="E11" s="390">
        <f>Производство!B36/(1+$C18)*(SALES_TAX+IF($B11&gt;0,$B11,0))</f>
        <v>0</v>
      </c>
      <c r="F11" s="390">
        <f>Производство!C36/(1+$C18)*(SALES_TAX+IF($B11&gt;0,$B11,0))</f>
        <v>0</v>
      </c>
      <c r="G11" s="390">
        <f>Производство!D36/(1+$C18)*(SALES_TAX+IF($B11&gt;0,$B11,0))</f>
        <v>0</v>
      </c>
      <c r="H11" s="390">
        <f>Производство!E36/(1+$C18)*(SALES_TAX+IF($B11&gt;0,$B11,0))</f>
        <v>0</v>
      </c>
      <c r="I11" s="390">
        <f>Производство!F36/(1+$C18)*(SALES_TAX+IF($B11&gt;0,$B11,0))</f>
        <v>0</v>
      </c>
      <c r="J11" s="390">
        <f>Производство!G36/(1+$C18)*(SALES_TAX+IF($B11&gt;0,$B11,0))</f>
        <v>0</v>
      </c>
      <c r="K11" s="390">
        <f>Производство!H36/(1+$C18)*(SALES_TAX+IF($B11&gt;0,$B11,0))</f>
        <v>0</v>
      </c>
      <c r="L11" s="390">
        <f>Производство!I36/(1+$C18)*(SALES_TAX+IF($B11&gt;0,$B11,0))</f>
        <v>0</v>
      </c>
      <c r="M11" s="390">
        <f>Производство!J36/(1+$C18)*(SALES_TAX+IF($B11&gt;0,$B11,0))</f>
        <v>0</v>
      </c>
      <c r="N11" s="390">
        <f>Производство!K36/(1+$C18)*(SALES_TAX+IF($B11&gt;0,$B11,0))</f>
        <v>0</v>
      </c>
      <c r="O11" s="390">
        <f>Производство!L36/(1+$C18)*(SALES_TAX+IF($B11&gt;0,$B11,0))</f>
        <v>0</v>
      </c>
      <c r="P11" s="390">
        <f>Производство!M36/(1+$C18)*(SALES_TAX+IF($B11&gt;0,$B11,0))</f>
        <v>0</v>
      </c>
      <c r="Q11" s="390">
        <f>Производство!N36/(1+$C18)*(SALES_TAX+IF($B11&gt;0,$B11,0))</f>
        <v>0</v>
      </c>
    </row>
    <row r="12" spans="1:17" ht="10.5">
      <c r="A12" s="51">
        <v>-1</v>
      </c>
      <c r="B12" s="51">
        <v>-1</v>
      </c>
      <c r="C12" s="51">
        <v>-1</v>
      </c>
      <c r="D12" s="297">
        <v>-1</v>
      </c>
      <c r="E12" s="390">
        <f>Производство!B37/(1+$C19)*(SALES_TAX+IF($B12&gt;0,$B12,0))</f>
        <v>0</v>
      </c>
      <c r="F12" s="390">
        <f>Производство!C37/(1+$C19)*(SALES_TAX+IF($B12&gt;0,$B12,0))</f>
        <v>0</v>
      </c>
      <c r="G12" s="390">
        <f>Производство!D37/(1+$C19)*(SALES_TAX+IF($B12&gt;0,$B12,0))</f>
        <v>0</v>
      </c>
      <c r="H12" s="390">
        <f>Производство!E37/(1+$C19)*(SALES_TAX+IF($B12&gt;0,$B12,0))</f>
        <v>0</v>
      </c>
      <c r="I12" s="390">
        <f>Производство!F37/(1+$C19)*(SALES_TAX+IF($B12&gt;0,$B12,0))</f>
        <v>0</v>
      </c>
      <c r="J12" s="390">
        <f>Производство!G37/(1+$C19)*(SALES_TAX+IF($B12&gt;0,$B12,0))</f>
        <v>0</v>
      </c>
      <c r="K12" s="390">
        <f>Производство!H37/(1+$C19)*(SALES_TAX+IF($B12&gt;0,$B12,0))</f>
        <v>0</v>
      </c>
      <c r="L12" s="390">
        <f>Производство!I37/(1+$C19)*(SALES_TAX+IF($B12&gt;0,$B12,0))</f>
        <v>0</v>
      </c>
      <c r="M12" s="390">
        <f>Производство!J37/(1+$C19)*(SALES_TAX+IF($B12&gt;0,$B12,0))</f>
        <v>0</v>
      </c>
      <c r="N12" s="390">
        <f>Производство!K37/(1+$C19)*(SALES_TAX+IF($B12&gt;0,$B12,0))</f>
        <v>0</v>
      </c>
      <c r="O12" s="390">
        <f>Производство!L37/(1+$C19)*(SALES_TAX+IF($B12&gt;0,$B12,0))</f>
        <v>0</v>
      </c>
      <c r="P12" s="390">
        <f>Производство!M37/(1+$C19)*(SALES_TAX+IF($B12&gt;0,$B12,0))</f>
        <v>0</v>
      </c>
      <c r="Q12" s="390">
        <f>Производство!N37/(1+$C19)*(SALES_TAX+IF($B12&gt;0,$B12,0))</f>
        <v>0</v>
      </c>
    </row>
    <row r="13" spans="1:17" ht="10.5">
      <c r="A13" s="51">
        <v>-1</v>
      </c>
      <c r="B13" s="51">
        <v>-1</v>
      </c>
      <c r="C13" s="51">
        <v>-1</v>
      </c>
      <c r="D13" s="297">
        <v>-1</v>
      </c>
      <c r="E13" s="390">
        <f>Производство!B38/(1+$C20)*(SALES_TAX+IF($B13&gt;0,$B13,0))</f>
        <v>0</v>
      </c>
      <c r="F13" s="390">
        <f>Производство!C38/(1+$C20)*(SALES_TAX+IF($B13&gt;0,$B13,0))</f>
        <v>0</v>
      </c>
      <c r="G13" s="390">
        <f>Производство!D38/(1+$C20)*(SALES_TAX+IF($B13&gt;0,$B13,0))</f>
        <v>0</v>
      </c>
      <c r="H13" s="390">
        <f>Производство!E38/(1+$C20)*(SALES_TAX+IF($B13&gt;0,$B13,0))</f>
        <v>0</v>
      </c>
      <c r="I13" s="390">
        <f>Производство!F38/(1+$C20)*(SALES_TAX+IF($B13&gt;0,$B13,0))</f>
        <v>0</v>
      </c>
      <c r="J13" s="390">
        <f>Производство!G38/(1+$C20)*(SALES_TAX+IF($B13&gt;0,$B13,0))</f>
        <v>0</v>
      </c>
      <c r="K13" s="390">
        <f>Производство!H38/(1+$C20)*(SALES_TAX+IF($B13&gt;0,$B13,0))</f>
        <v>0</v>
      </c>
      <c r="L13" s="390">
        <f>Производство!I38/(1+$C20)*(SALES_TAX+IF($B13&gt;0,$B13,0))</f>
        <v>0</v>
      </c>
      <c r="M13" s="390">
        <f>Производство!J38/(1+$C20)*(SALES_TAX+IF($B13&gt;0,$B13,0))</f>
        <v>0</v>
      </c>
      <c r="N13" s="390">
        <f>Производство!K38/(1+$C20)*(SALES_TAX+IF($B13&gt;0,$B13,0))</f>
        <v>0</v>
      </c>
      <c r="O13" s="390">
        <f>Производство!L38/(1+$C20)*(SALES_TAX+IF($B13&gt;0,$B13,0))</f>
        <v>0</v>
      </c>
      <c r="P13" s="390">
        <f>Производство!M38/(1+$C20)*(SALES_TAX+IF($B13&gt;0,$B13,0))</f>
        <v>0</v>
      </c>
      <c r="Q13" s="390">
        <f>Производство!N38/(1+$C20)*(SALES_TAX+IF($B13&gt;0,$B13,0))</f>
        <v>0</v>
      </c>
    </row>
    <row r="14" spans="1:17" s="228" customFormat="1" ht="10.5">
      <c r="A14" s="345" t="s">
        <v>3</v>
      </c>
      <c r="B14" s="345" t="s">
        <v>4</v>
      </c>
      <c r="C14" s="345" t="s">
        <v>5</v>
      </c>
      <c r="D14" s="297" t="s">
        <v>180</v>
      </c>
      <c r="E14" s="391">
        <f ca="1">SUM(E9:OFFSET(E9,PRODUCTS_NUM-1,0))</f>
        <v>0</v>
      </c>
      <c r="F14" s="391">
        <f ca="1">SUM(F9:OFFSET(F9,PRODUCTS_NUM-1,0))</f>
        <v>0</v>
      </c>
      <c r="G14" s="391">
        <f ca="1">SUM(G9:OFFSET(G9,PRODUCTS_NUM-1,0))</f>
        <v>0</v>
      </c>
      <c r="H14" s="391">
        <f ca="1">SUM(H9:OFFSET(H9,PRODUCTS_NUM-1,0))</f>
        <v>0</v>
      </c>
      <c r="I14" s="391">
        <f ca="1">SUM(I9:OFFSET(I9,PRODUCTS_NUM-1,0))</f>
        <v>0</v>
      </c>
      <c r="J14" s="391">
        <f ca="1">SUM(J9:OFFSET(J9,PRODUCTS_NUM-1,0))</f>
        <v>0</v>
      </c>
      <c r="K14" s="391">
        <f ca="1">SUM(K9:OFFSET(K9,PRODUCTS_NUM-1,0))</f>
        <v>0</v>
      </c>
      <c r="L14" s="391">
        <f ca="1">SUM(L9:OFFSET(L9,PRODUCTS_NUM-1,0))</f>
        <v>0</v>
      </c>
      <c r="M14" s="391">
        <f ca="1">SUM(M9:OFFSET(M9,PRODUCTS_NUM-1,0))</f>
        <v>0</v>
      </c>
      <c r="N14" s="391">
        <f ca="1">SUM(N9:OFFSET(N9,PRODUCTS_NUM-1,0))</f>
        <v>0</v>
      </c>
      <c r="O14" s="391">
        <f ca="1">SUM(O9:OFFSET(O9,PRODUCTS_NUM-1,0))</f>
        <v>0</v>
      </c>
      <c r="P14" s="391">
        <f ca="1">SUM(P9:OFFSET(P9,PRODUCTS_NUM-1,0))</f>
        <v>0</v>
      </c>
      <c r="Q14" s="391">
        <f ca="1">SUM(Q9:OFFSET(Q9,PRODUCTS_NUM-1,0))</f>
        <v>0</v>
      </c>
    </row>
    <row r="15" spans="1:5" s="298" customFormat="1" ht="10.5">
      <c r="A15" s="298" t="s">
        <v>91</v>
      </c>
      <c r="D15" s="299"/>
      <c r="E15" s="298" t="s">
        <v>99</v>
      </c>
    </row>
    <row r="16" spans="1:17" ht="10.5">
      <c r="A16" s="228">
        <f>IF(C9=-1,DEBIT_INT,INT(C9/30/PERIOD_LEN))</f>
        <v>0</v>
      </c>
      <c r="B16" s="228">
        <f>IF(C9=-1,DEBIT_FRA,C9/30/PERIOD_LEN-A16)</f>
        <v>0.1</v>
      </c>
      <c r="C16" s="228">
        <f>IF(A9&lt;0,VAT,A9)</f>
        <v>0</v>
      </c>
      <c r="D16" s="297"/>
      <c r="E16" s="390">
        <f ca="1">IF($B16&lt;0.01,IF(COLUMN()-4-$A16&gt;0.99,OFFSET(Производство!$B34,0,COLUMN()-4-$A16-1),0),IF(COLUMN()-4-$A16&gt;1.99,OFFSET(Производство!$B34,0,COLUMN()-4-$A16-1-1)*$B16,0)+IF(COLUMN()-4-$A16&gt;0.99,OFFSET(Производство!$B34,0,COLUMN()-4-$A16-1)*(1-$B16),0))</f>
        <v>0</v>
      </c>
      <c r="F16" s="390">
        <f ca="1">IF($B16&lt;0.01,IF(COLUMN()-4-$A16&gt;0.99,OFFSET(Производство!$B34,0,COLUMN()-4-$A16-1),0),IF(COLUMN()-4-$A16&gt;1.99,OFFSET(Производство!$B34,0,COLUMN()-4-$A16-1-1)*$B16,0)+IF(COLUMN()-4-$A16&gt;0.99,OFFSET(Производство!$B34,0,COLUMN()-4-$A16-1)*(1-$B16),0))</f>
        <v>0</v>
      </c>
      <c r="G16" s="390">
        <f ca="1">IF($B16&lt;0.01,IF(COLUMN()-4-$A16&gt;0.99,OFFSET(Производство!$B34,0,COLUMN()-4-$A16-1),0),IF(COLUMN()-4-$A16&gt;1.99,OFFSET(Производство!$B34,0,COLUMN()-4-$A16-1-1)*$B16,0)+IF(COLUMN()-4-$A16&gt;0.99,OFFSET(Производство!$B34,0,COLUMN()-4-$A16-1)*(1-$B16),0))</f>
        <v>243000</v>
      </c>
      <c r="H16" s="390">
        <f ca="1">IF($B16&lt;0.01,IF(COLUMN()-4-$A16&gt;0.99,OFFSET(Производство!$B34,0,COLUMN()-4-$A16-1),0),IF(COLUMN()-4-$A16&gt;1.99,OFFSET(Производство!$B34,0,COLUMN()-4-$A16-1-1)*$B16,0)+IF(COLUMN()-4-$A16&gt;0.99,OFFSET(Производство!$B34,0,COLUMN()-4-$A16-1)*(1-$B16),0))</f>
        <v>513000</v>
      </c>
      <c r="I16" s="390">
        <f ca="1">IF($B16&lt;0.01,IF(COLUMN()-4-$A16&gt;0.99,OFFSET(Производство!$B34,0,COLUMN()-4-$A16-1),0),IF(COLUMN()-4-$A16&gt;1.99,OFFSET(Производство!$B34,0,COLUMN()-4-$A16-1-1)*$B16,0)+IF(COLUMN()-4-$A16&gt;0.99,OFFSET(Производство!$B34,0,COLUMN()-4-$A16-1)*(1-$B16),0))</f>
        <v>540000</v>
      </c>
      <c r="J16" s="390">
        <f ca="1">IF($B16&lt;0.01,IF(COLUMN()-4-$A16&gt;0.99,OFFSET(Производство!$B34,0,COLUMN()-4-$A16-1),0),IF(COLUMN()-4-$A16&gt;1.99,OFFSET(Производство!$B34,0,COLUMN()-4-$A16-1-1)*$B16,0)+IF(COLUMN()-4-$A16&gt;0.99,OFFSET(Производство!$B34,0,COLUMN()-4-$A16-1)*(1-$B16),0))</f>
        <v>540000</v>
      </c>
      <c r="K16" s="390">
        <f ca="1">IF($B16&lt;0.01,IF(COLUMN()-4-$A16&gt;0.99,OFFSET(Производство!$B34,0,COLUMN()-4-$A16-1),0),IF(COLUMN()-4-$A16&gt;1.99,OFFSET(Производство!$B34,0,COLUMN()-4-$A16-1-1)*$B16,0)+IF(COLUMN()-4-$A16&gt;0.99,OFFSET(Производство!$B34,0,COLUMN()-4-$A16-1)*(1-$B16),0))</f>
        <v>540000</v>
      </c>
      <c r="L16" s="390">
        <f ca="1">IF($B16&lt;0.01,IF(COLUMN()-4-$A16&gt;0.99,OFFSET(Производство!$B34,0,COLUMN()-4-$A16-1),0),IF(COLUMN()-4-$A16&gt;1.99,OFFSET(Производство!$B34,0,COLUMN()-4-$A16-1-1)*$B16,0)+IF(COLUMN()-4-$A16&gt;0.99,OFFSET(Производство!$B34,0,COLUMN()-4-$A16-1)*(1-$B16),0))</f>
        <v>540000</v>
      </c>
      <c r="M16" s="390">
        <f ca="1">IF($B16&lt;0.01,IF(COLUMN()-4-$A16&gt;0.99,OFFSET(Производство!$B34,0,COLUMN()-4-$A16-1),0),IF(COLUMN()-4-$A16&gt;1.99,OFFSET(Производство!$B34,0,COLUMN()-4-$A16-1-1)*$B16,0)+IF(COLUMN()-4-$A16&gt;0.99,OFFSET(Производство!$B34,0,COLUMN()-4-$A16-1)*(1-$B16),0))</f>
        <v>540000</v>
      </c>
      <c r="N16" s="390">
        <f ca="1">IF($B16&lt;0.01,IF(COLUMN()-4-$A16&gt;0.99,OFFSET(Производство!$B34,0,COLUMN()-4-$A16-1),0),IF(COLUMN()-4-$A16&gt;1.99,OFFSET(Производство!$B34,0,COLUMN()-4-$A16-1-1)*$B16,0)+IF(COLUMN()-4-$A16&gt;0.99,OFFSET(Производство!$B34,0,COLUMN()-4-$A16-1)*(1-$B16),0))</f>
        <v>540000</v>
      </c>
      <c r="O16" s="390">
        <f ca="1">IF($B16&lt;0.01,IF(COLUMN()-4-$A16&gt;0.99,OFFSET(Производство!$B34,0,COLUMN()-4-$A16-1),0),IF(COLUMN()-4-$A16&gt;1.99,OFFSET(Производство!$B34,0,COLUMN()-4-$A16-1-1)*$B16,0)+IF(COLUMN()-4-$A16&gt;0.99,OFFSET(Производство!$B34,0,COLUMN()-4-$A16-1)*(1-$B16),0))</f>
        <v>540000</v>
      </c>
      <c r="P16" s="390">
        <f ca="1">IF($B16&lt;0.01,IF(COLUMN()-4-$A16&gt;0.99,OFFSET(Производство!$B34,0,COLUMN()-4-$A16-1),0),IF(COLUMN()-4-$A16&gt;1.99,OFFSET(Производство!$B34,0,COLUMN()-4-$A16-1-1)*$B16,0)+IF(COLUMN()-4-$A16&gt;0.99,OFFSET(Производство!$B34,0,COLUMN()-4-$A16-1)*(1-$B16),0))</f>
        <v>540000</v>
      </c>
      <c r="Q16" s="390">
        <f ca="1">IF($B16&lt;0.01,IF(COLUMN()-4-$A16&gt;0.99,OFFSET(Производство!$B34,0,COLUMN()-4-$A16-1),0),IF(COLUMN()-4-$A16&gt;1.99,OFFSET(Производство!$B34,0,COLUMN()-4-$A16-1-1)*$B16,0)+IF(COLUMN()-4-$A16&gt;0.99,OFFSET(Производство!$B34,0,COLUMN()-4-$A16-1)*(1-$B16),0))</f>
        <v>540000</v>
      </c>
    </row>
    <row r="17" spans="1:17" ht="10.5">
      <c r="A17" s="228">
        <f>IF(C10=-1,DEBIT_INT,INT(C10/30/PERIOD_LEN))</f>
        <v>0</v>
      </c>
      <c r="B17" s="228">
        <f>IF(C10=-1,DEBIT_FRA,C10/30/PERIOD_LEN-A17)</f>
        <v>0</v>
      </c>
      <c r="C17" s="228">
        <f>IF(A10&lt;0,VAT,A10)</f>
        <v>0</v>
      </c>
      <c r="D17" s="297"/>
      <c r="E17" s="390">
        <f ca="1">IF($B17&lt;0.01,IF(COLUMN()-4-$A17&gt;0.99,OFFSET(Производство!$B35,0,COLUMN()-4-$A17-1),0),IF(COLUMN()-4-$A17&gt;1.99,OFFSET(Производство!$B35,0,COLUMN()-4-$A17-1-1)*$B17,0)+IF(COLUMN()-4-$A17&gt;0.99,OFFSET(Производство!$B35,0,COLUMN()-4-$A17-1)*(1-$B17),0))</f>
        <v>0</v>
      </c>
      <c r="F17" s="390">
        <f ca="1">IF($B17&lt;0.01,IF(COLUMN()-4-$A17&gt;0.99,OFFSET(Производство!$B35,0,COLUMN()-4-$A17-1),0),IF(COLUMN()-4-$A17&gt;1.99,OFFSET(Производство!$B35,0,COLUMN()-4-$A17-1-1)*$B17,0)+IF(COLUMN()-4-$A17&gt;0.99,OFFSET(Производство!$B35,0,COLUMN()-4-$A17-1)*(1-$B17),0))</f>
        <v>0</v>
      </c>
      <c r="G17" s="390">
        <f ca="1">IF($B17&lt;0.01,IF(COLUMN()-4-$A17&gt;0.99,OFFSET(Производство!$B35,0,COLUMN()-4-$A17-1),0),IF(COLUMN()-4-$A17&gt;1.99,OFFSET(Производство!$B35,0,COLUMN()-4-$A17-1-1)*$B17,0)+IF(COLUMN()-4-$A17&gt;0.99,OFFSET(Производство!$B35,0,COLUMN()-4-$A17-1)*(1-$B17),0))</f>
        <v>10000</v>
      </c>
      <c r="H17" s="390">
        <f ca="1">IF($B17&lt;0.01,IF(COLUMN()-4-$A17&gt;0.99,OFFSET(Производство!$B35,0,COLUMN()-4-$A17-1),0),IF(COLUMN()-4-$A17&gt;1.99,OFFSET(Производство!$B35,0,COLUMN()-4-$A17-1-1)*$B17,0)+IF(COLUMN()-4-$A17&gt;0.99,OFFSET(Производство!$B35,0,COLUMN()-4-$A17-1)*(1-$B17),0))</f>
        <v>300000</v>
      </c>
      <c r="I17" s="390">
        <f ca="1">IF($B17&lt;0.01,IF(COLUMN()-4-$A17&gt;0.99,OFFSET(Производство!$B35,0,COLUMN()-4-$A17-1),0),IF(COLUMN()-4-$A17&gt;1.99,OFFSET(Производство!$B35,0,COLUMN()-4-$A17-1-1)*$B17,0)+IF(COLUMN()-4-$A17&gt;0.99,OFFSET(Производство!$B35,0,COLUMN()-4-$A17-1)*(1-$B17),0))</f>
        <v>900000</v>
      </c>
      <c r="J17" s="390">
        <f ca="1">IF($B17&lt;0.01,IF(COLUMN()-4-$A17&gt;0.99,OFFSET(Производство!$B35,0,COLUMN()-4-$A17-1),0),IF(COLUMN()-4-$A17&gt;1.99,OFFSET(Производство!$B35,0,COLUMN()-4-$A17-1-1)*$B17,0)+IF(COLUMN()-4-$A17&gt;0.99,OFFSET(Производство!$B35,0,COLUMN()-4-$A17-1)*(1-$B17),0))</f>
        <v>1500000</v>
      </c>
      <c r="K17" s="390">
        <f ca="1">IF($B17&lt;0.01,IF(COLUMN()-4-$A17&gt;0.99,OFFSET(Производство!$B35,0,COLUMN()-4-$A17-1),0),IF(COLUMN()-4-$A17&gt;1.99,OFFSET(Производство!$B35,0,COLUMN()-4-$A17-1-1)*$B17,0)+IF(COLUMN()-4-$A17&gt;0.99,OFFSET(Производство!$B35,0,COLUMN()-4-$A17-1)*(1-$B17),0))</f>
        <v>1800000</v>
      </c>
      <c r="L17" s="390">
        <f ca="1">IF($B17&lt;0.01,IF(COLUMN()-4-$A17&gt;0.99,OFFSET(Производство!$B35,0,COLUMN()-4-$A17-1),0),IF(COLUMN()-4-$A17&gt;1.99,OFFSET(Производство!$B35,0,COLUMN()-4-$A17-1-1)*$B17,0)+IF(COLUMN()-4-$A17&gt;0.99,OFFSET(Производство!$B35,0,COLUMN()-4-$A17-1)*(1-$B17),0))</f>
        <v>1800000</v>
      </c>
      <c r="M17" s="390">
        <f ca="1">IF($B17&lt;0.01,IF(COLUMN()-4-$A17&gt;0.99,OFFSET(Производство!$B35,0,COLUMN()-4-$A17-1),0),IF(COLUMN()-4-$A17&gt;1.99,OFFSET(Производство!$B35,0,COLUMN()-4-$A17-1-1)*$B17,0)+IF(COLUMN()-4-$A17&gt;0.99,OFFSET(Производство!$B35,0,COLUMN()-4-$A17-1)*(1-$B17),0))</f>
        <v>1200000</v>
      </c>
      <c r="N17" s="390">
        <f ca="1">IF($B17&lt;0.01,IF(COLUMN()-4-$A17&gt;0.99,OFFSET(Производство!$B35,0,COLUMN()-4-$A17-1),0),IF(COLUMN()-4-$A17&gt;1.99,OFFSET(Производство!$B35,0,COLUMN()-4-$A17-1-1)*$B17,0)+IF(COLUMN()-4-$A17&gt;0.99,OFFSET(Производство!$B35,0,COLUMN()-4-$A17-1)*(1-$B17),0))</f>
        <v>1200000</v>
      </c>
      <c r="O17" s="390">
        <f ca="1">IF($B17&lt;0.01,IF(COLUMN()-4-$A17&gt;0.99,OFFSET(Производство!$B35,0,COLUMN()-4-$A17-1),0),IF(COLUMN()-4-$A17&gt;1.99,OFFSET(Производство!$B35,0,COLUMN()-4-$A17-1-1)*$B17,0)+IF(COLUMN()-4-$A17&gt;0.99,OFFSET(Производство!$B35,0,COLUMN()-4-$A17-1)*(1-$B17),0))</f>
        <v>2400000</v>
      </c>
      <c r="P17" s="390">
        <f ca="1">IF($B17&lt;0.01,IF(COLUMN()-4-$A17&gt;0.99,OFFSET(Производство!$B35,0,COLUMN()-4-$A17-1),0),IF(COLUMN()-4-$A17&gt;1.99,OFFSET(Производство!$B35,0,COLUMN()-4-$A17-1-1)*$B17,0)+IF(COLUMN()-4-$A17&gt;0.99,OFFSET(Производство!$B35,0,COLUMN()-4-$A17-1)*(1-$B17),0))</f>
        <v>3000000</v>
      </c>
      <c r="Q17" s="390">
        <f ca="1">IF($B17&lt;0.01,IF(COLUMN()-4-$A17&gt;0.99,OFFSET(Производство!$B35,0,COLUMN()-4-$A17-1),0),IF(COLUMN()-4-$A17&gt;1.99,OFFSET(Производство!$B35,0,COLUMN()-4-$A17-1-1)*$B17,0)+IF(COLUMN()-4-$A17&gt;0.99,OFFSET(Производство!$B35,0,COLUMN()-4-$A17-1)*(1-$B17),0))</f>
        <v>3000000</v>
      </c>
    </row>
    <row r="18" spans="1:17" ht="10.5">
      <c r="A18" s="228">
        <f>IF(C11=-1,DEBIT_INT,INT(C11/30/PERIOD_LEN))</f>
        <v>0</v>
      </c>
      <c r="B18" s="228">
        <f>IF(C11=-1,DEBIT_FRA,C11/30/PERIOD_LEN-A18)</f>
        <v>0</v>
      </c>
      <c r="C18" s="228">
        <f>IF(A11&lt;0,VAT,A11)</f>
        <v>0</v>
      </c>
      <c r="D18" s="297"/>
      <c r="E18" s="390">
        <f ca="1">IF($B18&lt;0.01,IF(COLUMN()-4-$A18&gt;0.99,OFFSET(Производство!$B36,0,COLUMN()-4-$A18-1),0),IF(COLUMN()-4-$A18&gt;1.99,OFFSET(Производство!$B36,0,COLUMN()-4-$A18-1-1)*$B18,0)+IF(COLUMN()-4-$A18&gt;0.99,OFFSET(Производство!$B36,0,COLUMN()-4-$A18-1)*(1-$B18),0))</f>
        <v>0</v>
      </c>
      <c r="F18" s="390">
        <f ca="1">IF($B18&lt;0.01,IF(COLUMN()-4-$A18&gt;0.99,OFFSET(Производство!$B36,0,COLUMN()-4-$A18-1),0),IF(COLUMN()-4-$A18&gt;1.99,OFFSET(Производство!$B36,0,COLUMN()-4-$A18-1-1)*$B18,0)+IF(COLUMN()-4-$A18&gt;0.99,OFFSET(Производство!$B36,0,COLUMN()-4-$A18-1)*(1-$B18),0))</f>
        <v>0</v>
      </c>
      <c r="G18" s="390">
        <f ca="1">IF($B18&lt;0.01,IF(COLUMN()-4-$A18&gt;0.99,OFFSET(Производство!$B36,0,COLUMN()-4-$A18-1),0),IF(COLUMN()-4-$A18&gt;1.99,OFFSET(Производство!$B36,0,COLUMN()-4-$A18-1-1)*$B18,0)+IF(COLUMN()-4-$A18&gt;0.99,OFFSET(Производство!$B36,0,COLUMN()-4-$A18-1)*(1-$B18),0))</f>
        <v>40000</v>
      </c>
      <c r="H18" s="390">
        <f ca="1">IF($B18&lt;0.01,IF(COLUMN()-4-$A18&gt;0.99,OFFSET(Производство!$B36,0,COLUMN()-4-$A18-1),0),IF(COLUMN()-4-$A18&gt;1.99,OFFSET(Производство!$B36,0,COLUMN()-4-$A18-1-1)*$B18,0)+IF(COLUMN()-4-$A18&gt;0.99,OFFSET(Производство!$B36,0,COLUMN()-4-$A18-1)*(1-$B18),0))</f>
        <v>40000</v>
      </c>
      <c r="I18" s="390">
        <f ca="1">IF($B18&lt;0.01,IF(COLUMN()-4-$A18&gt;0.99,OFFSET(Производство!$B36,0,COLUMN()-4-$A18-1),0),IF(COLUMN()-4-$A18&gt;1.99,OFFSET(Производство!$B36,0,COLUMN()-4-$A18-1-1)*$B18,0)+IF(COLUMN()-4-$A18&gt;0.99,OFFSET(Производство!$B36,0,COLUMN()-4-$A18-1)*(1-$B18),0))</f>
        <v>40000</v>
      </c>
      <c r="J18" s="390">
        <f ca="1">IF($B18&lt;0.01,IF(COLUMN()-4-$A18&gt;0.99,OFFSET(Производство!$B36,0,COLUMN()-4-$A18-1),0),IF(COLUMN()-4-$A18&gt;1.99,OFFSET(Производство!$B36,0,COLUMN()-4-$A18-1-1)*$B18,0)+IF(COLUMN()-4-$A18&gt;0.99,OFFSET(Производство!$B36,0,COLUMN()-4-$A18-1)*(1-$B18),0))</f>
        <v>40000</v>
      </c>
      <c r="K18" s="390">
        <f ca="1">IF($B18&lt;0.01,IF(COLUMN()-4-$A18&gt;0.99,OFFSET(Производство!$B36,0,COLUMN()-4-$A18-1),0),IF(COLUMN()-4-$A18&gt;1.99,OFFSET(Производство!$B36,0,COLUMN()-4-$A18-1-1)*$B18,0)+IF(COLUMN()-4-$A18&gt;0.99,OFFSET(Производство!$B36,0,COLUMN()-4-$A18-1)*(1-$B18),0))</f>
        <v>40000</v>
      </c>
      <c r="L18" s="390">
        <f ca="1">IF($B18&lt;0.01,IF(COLUMN()-4-$A18&gt;0.99,OFFSET(Производство!$B36,0,COLUMN()-4-$A18-1),0),IF(COLUMN()-4-$A18&gt;1.99,OFFSET(Производство!$B36,0,COLUMN()-4-$A18-1-1)*$B18,0)+IF(COLUMN()-4-$A18&gt;0.99,OFFSET(Производство!$B36,0,COLUMN()-4-$A18-1)*(1-$B18),0))</f>
        <v>40000</v>
      </c>
      <c r="M18" s="390">
        <f ca="1">IF($B18&lt;0.01,IF(COLUMN()-4-$A18&gt;0.99,OFFSET(Производство!$B36,0,COLUMN()-4-$A18-1),0),IF(COLUMN()-4-$A18&gt;1.99,OFFSET(Производство!$B36,0,COLUMN()-4-$A18-1-1)*$B18,0)+IF(COLUMN()-4-$A18&gt;0.99,OFFSET(Производство!$B36,0,COLUMN()-4-$A18-1)*(1-$B18),0))</f>
        <v>40000</v>
      </c>
      <c r="N18" s="390">
        <f ca="1">IF($B18&lt;0.01,IF(COLUMN()-4-$A18&gt;0.99,OFFSET(Производство!$B36,0,COLUMN()-4-$A18-1),0),IF(COLUMN()-4-$A18&gt;1.99,OFFSET(Производство!$B36,0,COLUMN()-4-$A18-1-1)*$B18,0)+IF(COLUMN()-4-$A18&gt;0.99,OFFSET(Производство!$B36,0,COLUMN()-4-$A18-1)*(1-$B18),0))</f>
        <v>40000</v>
      </c>
      <c r="O18" s="390">
        <f ca="1">IF($B18&lt;0.01,IF(COLUMN()-4-$A18&gt;0.99,OFFSET(Производство!$B36,0,COLUMN()-4-$A18-1),0),IF(COLUMN()-4-$A18&gt;1.99,OFFSET(Производство!$B36,0,COLUMN()-4-$A18-1-1)*$B18,0)+IF(COLUMN()-4-$A18&gt;0.99,OFFSET(Производство!$B36,0,COLUMN()-4-$A18-1)*(1-$B18),0))</f>
        <v>40000</v>
      </c>
      <c r="P18" s="390">
        <f ca="1">IF($B18&lt;0.01,IF(COLUMN()-4-$A18&gt;0.99,OFFSET(Производство!$B36,0,COLUMN()-4-$A18-1),0),IF(COLUMN()-4-$A18&gt;1.99,OFFSET(Производство!$B36,0,COLUMN()-4-$A18-1-1)*$B18,0)+IF(COLUMN()-4-$A18&gt;0.99,OFFSET(Производство!$B36,0,COLUMN()-4-$A18-1)*(1-$B18),0))</f>
        <v>40000</v>
      </c>
      <c r="Q18" s="390">
        <f ca="1">IF($B18&lt;0.01,IF(COLUMN()-4-$A18&gt;0.99,OFFSET(Производство!$B36,0,COLUMN()-4-$A18-1),0),IF(COLUMN()-4-$A18&gt;1.99,OFFSET(Производство!$B36,0,COLUMN()-4-$A18-1-1)*$B18,0)+IF(COLUMN()-4-$A18&gt;0.99,OFFSET(Производство!$B36,0,COLUMN()-4-$A18-1)*(1-$B18),0))</f>
        <v>40000</v>
      </c>
    </row>
    <row r="19" spans="1:17" ht="10.5">
      <c r="A19" s="228">
        <f>IF(C12=-1,DEBIT_INT,INT(C12/30/PERIOD_LEN))</f>
        <v>0</v>
      </c>
      <c r="B19" s="228">
        <f>IF(C12=-1,DEBIT_FRA,C12/30/PERIOD_LEN-A19)</f>
        <v>0</v>
      </c>
      <c r="C19" s="228">
        <f>IF(A12&lt;0,VAT,A12)</f>
        <v>0</v>
      </c>
      <c r="D19" s="297"/>
      <c r="E19" s="390">
        <f ca="1">IF($B19&lt;0.01,IF(COLUMN()-4-$A19&gt;0.99,OFFSET(Производство!$B37,0,COLUMN()-4-$A19-1),0),IF(COLUMN()-4-$A19&gt;1.99,OFFSET(Производство!$B37,0,COLUMN()-4-$A19-1-1)*$B19,0)+IF(COLUMN()-4-$A19&gt;0.99,OFFSET(Производство!$B37,0,COLUMN()-4-$A19-1)*(1-$B19),0))</f>
        <v>0</v>
      </c>
      <c r="F19" s="390">
        <f ca="1">IF($B19&lt;0.01,IF(COLUMN()-4-$A19&gt;0.99,OFFSET(Производство!$B37,0,COLUMN()-4-$A19-1),0),IF(COLUMN()-4-$A19&gt;1.99,OFFSET(Производство!$B37,0,COLUMN()-4-$A19-1-1)*$B19,0)+IF(COLUMN()-4-$A19&gt;0.99,OFFSET(Производство!$B37,0,COLUMN()-4-$A19-1)*(1-$B19),0))</f>
        <v>0</v>
      </c>
      <c r="G19" s="390">
        <f ca="1">IF($B19&lt;0.01,IF(COLUMN()-4-$A19&gt;0.99,OFFSET(Производство!$B37,0,COLUMN()-4-$A19-1),0),IF(COLUMN()-4-$A19&gt;1.99,OFFSET(Производство!$B37,0,COLUMN()-4-$A19-1-1)*$B19,0)+IF(COLUMN()-4-$A19&gt;0.99,OFFSET(Производство!$B37,0,COLUMN()-4-$A19-1)*(1-$B19),0))</f>
        <v>40000</v>
      </c>
      <c r="H19" s="390">
        <f ca="1">IF($B19&lt;0.01,IF(COLUMN()-4-$A19&gt;0.99,OFFSET(Производство!$B37,0,COLUMN()-4-$A19-1),0),IF(COLUMN()-4-$A19&gt;1.99,OFFSET(Производство!$B37,0,COLUMN()-4-$A19-1-1)*$B19,0)+IF(COLUMN()-4-$A19&gt;0.99,OFFSET(Производство!$B37,0,COLUMN()-4-$A19-1)*(1-$B19),0))</f>
        <v>60000</v>
      </c>
      <c r="I19" s="390">
        <f ca="1">IF($B19&lt;0.01,IF(COLUMN()-4-$A19&gt;0.99,OFFSET(Производство!$B37,0,COLUMN()-4-$A19-1),0),IF(COLUMN()-4-$A19&gt;1.99,OFFSET(Производство!$B37,0,COLUMN()-4-$A19-1-1)*$B19,0)+IF(COLUMN()-4-$A19&gt;0.99,OFFSET(Производство!$B37,0,COLUMN()-4-$A19-1)*(1-$B19),0))</f>
        <v>80000</v>
      </c>
      <c r="J19" s="390">
        <f ca="1">IF($B19&lt;0.01,IF(COLUMN()-4-$A19&gt;0.99,OFFSET(Производство!$B37,0,COLUMN()-4-$A19-1),0),IF(COLUMN()-4-$A19&gt;1.99,OFFSET(Производство!$B37,0,COLUMN()-4-$A19-1-1)*$B19,0)+IF(COLUMN()-4-$A19&gt;0.99,OFFSET(Производство!$B37,0,COLUMN()-4-$A19-1)*(1-$B19),0))</f>
        <v>400000</v>
      </c>
      <c r="K19" s="390">
        <f ca="1">IF($B19&lt;0.01,IF(COLUMN()-4-$A19&gt;0.99,OFFSET(Производство!$B37,0,COLUMN()-4-$A19-1),0),IF(COLUMN()-4-$A19&gt;1.99,OFFSET(Производство!$B37,0,COLUMN()-4-$A19-1-1)*$B19,0)+IF(COLUMN()-4-$A19&gt;0.99,OFFSET(Производство!$B37,0,COLUMN()-4-$A19-1)*(1-$B19),0))</f>
        <v>400000</v>
      </c>
      <c r="L19" s="390">
        <f ca="1">IF($B19&lt;0.01,IF(COLUMN()-4-$A19&gt;0.99,OFFSET(Производство!$B37,0,COLUMN()-4-$A19-1),0),IF(COLUMN()-4-$A19&gt;1.99,OFFSET(Производство!$B37,0,COLUMN()-4-$A19-1-1)*$B19,0)+IF(COLUMN()-4-$A19&gt;0.99,OFFSET(Производство!$B37,0,COLUMN()-4-$A19-1)*(1-$B19),0))</f>
        <v>400000</v>
      </c>
      <c r="M19" s="390">
        <f ca="1">IF($B19&lt;0.01,IF(COLUMN()-4-$A19&gt;0.99,OFFSET(Производство!$B37,0,COLUMN()-4-$A19-1),0),IF(COLUMN()-4-$A19&gt;1.99,OFFSET(Производство!$B37,0,COLUMN()-4-$A19-1-1)*$B19,0)+IF(COLUMN()-4-$A19&gt;0.99,OFFSET(Производство!$B37,0,COLUMN()-4-$A19-1)*(1-$B19),0))</f>
        <v>400000</v>
      </c>
      <c r="N19" s="390">
        <f ca="1">IF($B19&lt;0.01,IF(COLUMN()-4-$A19&gt;0.99,OFFSET(Производство!$B37,0,COLUMN()-4-$A19-1),0),IF(COLUMN()-4-$A19&gt;1.99,OFFSET(Производство!$B37,0,COLUMN()-4-$A19-1-1)*$B19,0)+IF(COLUMN()-4-$A19&gt;0.99,OFFSET(Производство!$B37,0,COLUMN()-4-$A19-1)*(1-$B19),0))</f>
        <v>400000</v>
      </c>
      <c r="O19" s="390">
        <f ca="1">IF($B19&lt;0.01,IF(COLUMN()-4-$A19&gt;0.99,OFFSET(Производство!$B37,0,COLUMN()-4-$A19-1),0),IF(COLUMN()-4-$A19&gt;1.99,OFFSET(Производство!$B37,0,COLUMN()-4-$A19-1-1)*$B19,0)+IF(COLUMN()-4-$A19&gt;0.99,OFFSET(Производство!$B37,0,COLUMN()-4-$A19-1)*(1-$B19),0))</f>
        <v>400000</v>
      </c>
      <c r="P19" s="390">
        <f ca="1">IF($B19&lt;0.01,IF(COLUMN()-4-$A19&gt;0.99,OFFSET(Производство!$B37,0,COLUMN()-4-$A19-1),0),IF(COLUMN()-4-$A19&gt;1.99,OFFSET(Производство!$B37,0,COLUMN()-4-$A19-1-1)*$B19,0)+IF(COLUMN()-4-$A19&gt;0.99,OFFSET(Производство!$B37,0,COLUMN()-4-$A19-1)*(1-$B19),0))</f>
        <v>400000</v>
      </c>
      <c r="Q19" s="390">
        <f ca="1">IF($B19&lt;0.01,IF(COLUMN()-4-$A19&gt;0.99,OFFSET(Производство!$B37,0,COLUMN()-4-$A19-1),0),IF(COLUMN()-4-$A19&gt;1.99,OFFSET(Производство!$B37,0,COLUMN()-4-$A19-1-1)*$B19,0)+IF(COLUMN()-4-$A19&gt;0.99,OFFSET(Производство!$B37,0,COLUMN()-4-$A19-1)*(1-$B19),0))</f>
        <v>400000</v>
      </c>
    </row>
    <row r="20" spans="1:17" ht="10.5">
      <c r="A20" s="228">
        <f>IF(C13=-1,DEBIT_INT,INT(C13/30/PERIOD_LEN))</f>
        <v>0</v>
      </c>
      <c r="B20" s="228">
        <f>IF(C13=-1,DEBIT_FRA,C13/30/PERIOD_LEN-A20)</f>
        <v>0</v>
      </c>
      <c r="C20" s="228">
        <f>IF(A13&lt;0,VAT,A13)</f>
        <v>0</v>
      </c>
      <c r="D20" s="297"/>
      <c r="E20" s="390">
        <f ca="1">IF($B20&lt;0.01,IF(COLUMN()-4-$A20&gt;0.99,OFFSET(Производство!$B38,0,COLUMN()-4-$A20-1),0),IF(COLUMN()-4-$A20&gt;1.99,OFFSET(Производство!$B38,0,COLUMN()-4-$A20-1-1)*$B20,0)+IF(COLUMN()-4-$A20&gt;0.99,OFFSET(Производство!$B38,0,COLUMN()-4-$A20-1)*(1-$B20),0))</f>
        <v>0</v>
      </c>
      <c r="F20" s="390">
        <f ca="1">IF($B20&lt;0.01,IF(COLUMN()-4-$A20&gt;0.99,OFFSET(Производство!$B38,0,COLUMN()-4-$A20-1),0),IF(COLUMN()-4-$A20&gt;1.99,OFFSET(Производство!$B38,0,COLUMN()-4-$A20-1-1)*$B20,0)+IF(COLUMN()-4-$A20&gt;0.99,OFFSET(Производство!$B38,0,COLUMN()-4-$A20-1)*(1-$B20),0))</f>
        <v>0</v>
      </c>
      <c r="G20" s="390">
        <f ca="1">IF($B20&lt;0.01,IF(COLUMN()-4-$A20&gt;0.99,OFFSET(Производство!$B38,0,COLUMN()-4-$A20-1),0),IF(COLUMN()-4-$A20&gt;1.99,OFFSET(Производство!$B38,0,COLUMN()-4-$A20-1-1)*$B20,0)+IF(COLUMN()-4-$A20&gt;0.99,OFFSET(Производство!$B38,0,COLUMN()-4-$A20-1)*(1-$B20),0))</f>
        <v>50000</v>
      </c>
      <c r="H20" s="390">
        <f ca="1">IF($B20&lt;0.01,IF(COLUMN()-4-$A20&gt;0.99,OFFSET(Производство!$B38,0,COLUMN()-4-$A20-1),0),IF(COLUMN()-4-$A20&gt;1.99,OFFSET(Производство!$B38,0,COLUMN()-4-$A20-1-1)*$B20,0)+IF(COLUMN()-4-$A20&gt;0.99,OFFSET(Производство!$B38,0,COLUMN()-4-$A20-1)*(1-$B20),0))</f>
        <v>50000</v>
      </c>
      <c r="I20" s="390">
        <f ca="1">IF($B20&lt;0.01,IF(COLUMN()-4-$A20&gt;0.99,OFFSET(Производство!$B38,0,COLUMN()-4-$A20-1),0),IF(COLUMN()-4-$A20&gt;1.99,OFFSET(Производство!$B38,0,COLUMN()-4-$A20-1-1)*$B20,0)+IF(COLUMN()-4-$A20&gt;0.99,OFFSET(Производство!$B38,0,COLUMN()-4-$A20-1)*(1-$B20),0))</f>
        <v>100000</v>
      </c>
      <c r="J20" s="390">
        <f ca="1">IF($B20&lt;0.01,IF(COLUMN()-4-$A20&gt;0.99,OFFSET(Производство!$B38,0,COLUMN()-4-$A20-1),0),IF(COLUMN()-4-$A20&gt;1.99,OFFSET(Производство!$B38,0,COLUMN()-4-$A20-1-1)*$B20,0)+IF(COLUMN()-4-$A20&gt;0.99,OFFSET(Производство!$B38,0,COLUMN()-4-$A20-1)*(1-$B20),0))</f>
        <v>100000</v>
      </c>
      <c r="K20" s="390">
        <f ca="1">IF($B20&lt;0.01,IF(COLUMN()-4-$A20&gt;0.99,OFFSET(Производство!$B38,0,COLUMN()-4-$A20-1),0),IF(COLUMN()-4-$A20&gt;1.99,OFFSET(Производство!$B38,0,COLUMN()-4-$A20-1-1)*$B20,0)+IF(COLUMN()-4-$A20&gt;0.99,OFFSET(Производство!$B38,0,COLUMN()-4-$A20-1)*(1-$B20),0))</f>
        <v>100000</v>
      </c>
      <c r="L20" s="390">
        <f ca="1">IF($B20&lt;0.01,IF(COLUMN()-4-$A20&gt;0.99,OFFSET(Производство!$B38,0,COLUMN()-4-$A20-1),0),IF(COLUMN()-4-$A20&gt;1.99,OFFSET(Производство!$B38,0,COLUMN()-4-$A20-1-1)*$B20,0)+IF(COLUMN()-4-$A20&gt;0.99,OFFSET(Производство!$B38,0,COLUMN()-4-$A20-1)*(1-$B20),0))</f>
        <v>100000</v>
      </c>
      <c r="M20" s="390">
        <f ca="1">IF($B20&lt;0.01,IF(COLUMN()-4-$A20&gt;0.99,OFFSET(Производство!$B38,0,COLUMN()-4-$A20-1),0),IF(COLUMN()-4-$A20&gt;1.99,OFFSET(Производство!$B38,0,COLUMN()-4-$A20-1-1)*$B20,0)+IF(COLUMN()-4-$A20&gt;0.99,OFFSET(Производство!$B38,0,COLUMN()-4-$A20-1)*(1-$B20),0))</f>
        <v>100000</v>
      </c>
      <c r="N20" s="390">
        <f ca="1">IF($B20&lt;0.01,IF(COLUMN()-4-$A20&gt;0.99,OFFSET(Производство!$B38,0,COLUMN()-4-$A20-1),0),IF(COLUMN()-4-$A20&gt;1.99,OFFSET(Производство!$B38,0,COLUMN()-4-$A20-1-1)*$B20,0)+IF(COLUMN()-4-$A20&gt;0.99,OFFSET(Производство!$B38,0,COLUMN()-4-$A20-1)*(1-$B20),0))</f>
        <v>100000</v>
      </c>
      <c r="O20" s="390">
        <f ca="1">IF($B20&lt;0.01,IF(COLUMN()-4-$A20&gt;0.99,OFFSET(Производство!$B38,0,COLUMN()-4-$A20-1),0),IF(COLUMN()-4-$A20&gt;1.99,OFFSET(Производство!$B38,0,COLUMN()-4-$A20-1-1)*$B20,0)+IF(COLUMN()-4-$A20&gt;0.99,OFFSET(Производство!$B38,0,COLUMN()-4-$A20-1)*(1-$B20),0))</f>
        <v>100000</v>
      </c>
      <c r="P20" s="390">
        <f ca="1">IF($B20&lt;0.01,IF(COLUMN()-4-$A20&gt;0.99,OFFSET(Производство!$B38,0,COLUMN()-4-$A20-1),0),IF(COLUMN()-4-$A20&gt;1.99,OFFSET(Производство!$B38,0,COLUMN()-4-$A20-1-1)*$B20,0)+IF(COLUMN()-4-$A20&gt;0.99,OFFSET(Производство!$B38,0,COLUMN()-4-$A20-1)*(1-$B20),0))</f>
        <v>100000</v>
      </c>
      <c r="Q20" s="390">
        <f ca="1">IF($B20&lt;0.01,IF(COLUMN()-4-$A20&gt;0.99,OFFSET(Производство!$B38,0,COLUMN()-4-$A20-1),0),IF(COLUMN()-4-$A20&gt;1.99,OFFSET(Производство!$B38,0,COLUMN()-4-$A20-1-1)*$B20,0)+IF(COLUMN()-4-$A20&gt;0.99,OFFSET(Производство!$B38,0,COLUMN()-4-$A20-1)*(1-$B20),0))</f>
        <v>100000</v>
      </c>
    </row>
    <row r="21" spans="4:17" s="228" customFormat="1" ht="10.5">
      <c r="D21" s="297" t="s">
        <v>180</v>
      </c>
      <c r="E21" s="391">
        <f ca="1">SUM(E16:OFFSET(E16,PRODUCTS_NUM-1,0))</f>
        <v>0</v>
      </c>
      <c r="F21" s="391">
        <f ca="1">SUM(F16:OFFSET(F16,PRODUCTS_NUM-1,0))</f>
        <v>0</v>
      </c>
      <c r="G21" s="391">
        <f ca="1">SUM(G16:OFFSET(G16,PRODUCTS_NUM-1,0))</f>
        <v>383000</v>
      </c>
      <c r="H21" s="391">
        <f ca="1">SUM(H16:OFFSET(H16,PRODUCTS_NUM-1,0))</f>
        <v>963000</v>
      </c>
      <c r="I21" s="391">
        <f ca="1">SUM(I16:OFFSET(I16,PRODUCTS_NUM-1,0))</f>
        <v>1660000</v>
      </c>
      <c r="J21" s="391">
        <f ca="1">SUM(J16:OFFSET(J16,PRODUCTS_NUM-1,0))</f>
        <v>2580000</v>
      </c>
      <c r="K21" s="391">
        <f ca="1">SUM(K16:OFFSET(K16,PRODUCTS_NUM-1,0))</f>
        <v>2880000</v>
      </c>
      <c r="L21" s="391">
        <f ca="1">SUM(L16:OFFSET(L16,PRODUCTS_NUM-1,0))</f>
        <v>2880000</v>
      </c>
      <c r="M21" s="391">
        <f ca="1">SUM(M16:OFFSET(M16,PRODUCTS_NUM-1,0))</f>
        <v>2280000</v>
      </c>
      <c r="N21" s="391">
        <f ca="1">SUM(N16:OFFSET(N16,PRODUCTS_NUM-1,0))</f>
        <v>2280000</v>
      </c>
      <c r="O21" s="391">
        <f ca="1">SUM(O16:OFFSET(O16,PRODUCTS_NUM-1,0))</f>
        <v>3480000</v>
      </c>
      <c r="P21" s="391">
        <f ca="1">SUM(P16:OFFSET(P16,PRODUCTS_NUM-1,0))</f>
        <v>4080000</v>
      </c>
      <c r="Q21" s="391">
        <f ca="1">SUM(Q16:OFFSET(Q16,PRODUCTS_NUM-1,0))</f>
        <v>4080000</v>
      </c>
    </row>
    <row r="22" spans="1:5" s="298" customFormat="1" ht="10.5">
      <c r="A22" s="298" t="s">
        <v>94</v>
      </c>
      <c r="D22" s="299"/>
      <c r="E22" s="298" t="s">
        <v>100</v>
      </c>
    </row>
    <row r="23" spans="1:17" ht="10.5">
      <c r="A23" s="228"/>
      <c r="B23" s="228"/>
      <c r="C23" s="228"/>
      <c r="D23" s="297"/>
      <c r="E23" s="390">
        <f aca="true" t="shared" si="3" ref="E23:J25">E16*$C16/(1+$C16)</f>
        <v>0</v>
      </c>
      <c r="F23" s="390">
        <f t="shared" si="3"/>
        <v>0</v>
      </c>
      <c r="G23" s="390">
        <f t="shared" si="3"/>
        <v>0</v>
      </c>
      <c r="H23" s="390">
        <f t="shared" si="3"/>
        <v>0</v>
      </c>
      <c r="I23" s="390">
        <f t="shared" si="3"/>
        <v>0</v>
      </c>
      <c r="J23" s="390">
        <f t="shared" si="3"/>
        <v>0</v>
      </c>
      <c r="K23" s="390">
        <f aca="true" t="shared" si="4" ref="K23:Q23">K16*$C16/(1+$C16)</f>
        <v>0</v>
      </c>
      <c r="L23" s="390">
        <f t="shared" si="4"/>
        <v>0</v>
      </c>
      <c r="M23" s="390">
        <f t="shared" si="4"/>
        <v>0</v>
      </c>
      <c r="N23" s="390">
        <f t="shared" si="4"/>
        <v>0</v>
      </c>
      <c r="O23" s="390">
        <f t="shared" si="4"/>
        <v>0</v>
      </c>
      <c r="P23" s="390">
        <f t="shared" si="4"/>
        <v>0</v>
      </c>
      <c r="Q23" s="390">
        <f t="shared" si="4"/>
        <v>0</v>
      </c>
    </row>
    <row r="24" spans="1:17" ht="10.5">
      <c r="A24" s="228"/>
      <c r="B24" s="228"/>
      <c r="C24" s="228"/>
      <c r="D24" s="297"/>
      <c r="E24" s="390">
        <f t="shared" si="3"/>
        <v>0</v>
      </c>
      <c r="F24" s="390">
        <f t="shared" si="3"/>
        <v>0</v>
      </c>
      <c r="G24" s="390">
        <f t="shared" si="3"/>
        <v>0</v>
      </c>
      <c r="H24" s="390">
        <f t="shared" si="3"/>
        <v>0</v>
      </c>
      <c r="I24" s="390">
        <f t="shared" si="3"/>
        <v>0</v>
      </c>
      <c r="J24" s="390">
        <f t="shared" si="3"/>
        <v>0</v>
      </c>
      <c r="K24" s="390">
        <f aca="true" t="shared" si="5" ref="K24:Q24">K17*$C17/(1+$C17)</f>
        <v>0</v>
      </c>
      <c r="L24" s="390">
        <f t="shared" si="5"/>
        <v>0</v>
      </c>
      <c r="M24" s="390">
        <f t="shared" si="5"/>
        <v>0</v>
      </c>
      <c r="N24" s="390">
        <f t="shared" si="5"/>
        <v>0</v>
      </c>
      <c r="O24" s="390">
        <f t="shared" si="5"/>
        <v>0</v>
      </c>
      <c r="P24" s="390">
        <f t="shared" si="5"/>
        <v>0</v>
      </c>
      <c r="Q24" s="390">
        <f t="shared" si="5"/>
        <v>0</v>
      </c>
    </row>
    <row r="25" spans="1:17" ht="10.5">
      <c r="A25" s="228"/>
      <c r="B25" s="228"/>
      <c r="C25" s="228"/>
      <c r="D25" s="297"/>
      <c r="E25" s="390">
        <f t="shared" si="3"/>
        <v>0</v>
      </c>
      <c r="F25" s="390">
        <f t="shared" si="3"/>
        <v>0</v>
      </c>
      <c r="G25" s="390">
        <f t="shared" si="3"/>
        <v>0</v>
      </c>
      <c r="H25" s="390">
        <f t="shared" si="3"/>
        <v>0</v>
      </c>
      <c r="I25" s="390">
        <f t="shared" si="3"/>
        <v>0</v>
      </c>
      <c r="J25" s="390">
        <f t="shared" si="3"/>
        <v>0</v>
      </c>
      <c r="K25" s="390">
        <f aca="true" t="shared" si="6" ref="K25:Q25">K18*$C18/(1+$C18)</f>
        <v>0</v>
      </c>
      <c r="L25" s="390">
        <f t="shared" si="6"/>
        <v>0</v>
      </c>
      <c r="M25" s="390">
        <f t="shared" si="6"/>
        <v>0</v>
      </c>
      <c r="N25" s="390">
        <f t="shared" si="6"/>
        <v>0</v>
      </c>
      <c r="O25" s="390">
        <f t="shared" si="6"/>
        <v>0</v>
      </c>
      <c r="P25" s="390">
        <f t="shared" si="6"/>
        <v>0</v>
      </c>
      <c r="Q25" s="390">
        <f t="shared" si="6"/>
        <v>0</v>
      </c>
    </row>
    <row r="26" spans="1:17" ht="10.5">
      <c r="A26" s="228"/>
      <c r="B26" s="228"/>
      <c r="C26" s="228"/>
      <c r="D26" s="297"/>
      <c r="E26" s="390">
        <f aca="true" t="shared" si="7" ref="E26:Q26">E19*$C19/(1+$C19)</f>
        <v>0</v>
      </c>
      <c r="F26" s="390">
        <f t="shared" si="7"/>
        <v>0</v>
      </c>
      <c r="G26" s="390">
        <f t="shared" si="7"/>
        <v>0</v>
      </c>
      <c r="H26" s="390">
        <f t="shared" si="7"/>
        <v>0</v>
      </c>
      <c r="I26" s="390">
        <f t="shared" si="7"/>
        <v>0</v>
      </c>
      <c r="J26" s="390">
        <f t="shared" si="7"/>
        <v>0</v>
      </c>
      <c r="K26" s="390">
        <f t="shared" si="7"/>
        <v>0</v>
      </c>
      <c r="L26" s="390">
        <f t="shared" si="7"/>
        <v>0</v>
      </c>
      <c r="M26" s="390">
        <f t="shared" si="7"/>
        <v>0</v>
      </c>
      <c r="N26" s="390">
        <f t="shared" si="7"/>
        <v>0</v>
      </c>
      <c r="O26" s="390">
        <f t="shared" si="7"/>
        <v>0</v>
      </c>
      <c r="P26" s="390">
        <f t="shared" si="7"/>
        <v>0</v>
      </c>
      <c r="Q26" s="390">
        <f t="shared" si="7"/>
        <v>0</v>
      </c>
    </row>
    <row r="27" spans="1:17" ht="10.5">
      <c r="A27" s="228"/>
      <c r="B27" s="228"/>
      <c r="C27" s="228"/>
      <c r="D27" s="297"/>
      <c r="E27" s="390">
        <f aca="true" t="shared" si="8" ref="E27:Q27">E20*$C20/(1+$C20)</f>
        <v>0</v>
      </c>
      <c r="F27" s="390">
        <f t="shared" si="8"/>
        <v>0</v>
      </c>
      <c r="G27" s="390">
        <f t="shared" si="8"/>
        <v>0</v>
      </c>
      <c r="H27" s="390">
        <f t="shared" si="8"/>
        <v>0</v>
      </c>
      <c r="I27" s="390">
        <f t="shared" si="8"/>
        <v>0</v>
      </c>
      <c r="J27" s="390">
        <f t="shared" si="8"/>
        <v>0</v>
      </c>
      <c r="K27" s="390">
        <f t="shared" si="8"/>
        <v>0</v>
      </c>
      <c r="L27" s="390">
        <f t="shared" si="8"/>
        <v>0</v>
      </c>
      <c r="M27" s="390">
        <f t="shared" si="8"/>
        <v>0</v>
      </c>
      <c r="N27" s="390">
        <f t="shared" si="8"/>
        <v>0</v>
      </c>
      <c r="O27" s="390">
        <f t="shared" si="8"/>
        <v>0</v>
      </c>
      <c r="P27" s="390">
        <f t="shared" si="8"/>
        <v>0</v>
      </c>
      <c r="Q27" s="390">
        <f t="shared" si="8"/>
        <v>0</v>
      </c>
    </row>
    <row r="28" spans="4:17" s="228" customFormat="1" ht="10.5">
      <c r="D28" s="297" t="s">
        <v>180</v>
      </c>
      <c r="E28" s="391">
        <f ca="1">SUM(E23:OFFSET(E23,PRODUCTS_NUM-1,0))</f>
        <v>0</v>
      </c>
      <c r="F28" s="391">
        <f ca="1">SUM(F23:OFFSET(F23,PRODUCTS_NUM-1,0))</f>
        <v>0</v>
      </c>
      <c r="G28" s="391">
        <f ca="1">SUM(G23:OFFSET(G23,PRODUCTS_NUM-1,0))</f>
        <v>0</v>
      </c>
      <c r="H28" s="391">
        <f ca="1">SUM(H23:OFFSET(H23,PRODUCTS_NUM-1,0))</f>
        <v>0</v>
      </c>
      <c r="I28" s="391">
        <f ca="1">SUM(I23:OFFSET(I23,PRODUCTS_NUM-1,0))</f>
        <v>0</v>
      </c>
      <c r="J28" s="391">
        <f ca="1">SUM(J23:OFFSET(J23,PRODUCTS_NUM-1,0))</f>
        <v>0</v>
      </c>
      <c r="K28" s="391">
        <f ca="1">SUM(K23:OFFSET(K23,PRODUCTS_NUM-1,0))</f>
        <v>0</v>
      </c>
      <c r="L28" s="391">
        <f ca="1">SUM(L23:OFFSET(L23,PRODUCTS_NUM-1,0))</f>
        <v>0</v>
      </c>
      <c r="M28" s="391">
        <f ca="1">SUM(M23:OFFSET(M23,PRODUCTS_NUM-1,0))</f>
        <v>0</v>
      </c>
      <c r="N28" s="391">
        <f ca="1">SUM(N23:OFFSET(N23,PRODUCTS_NUM-1,0))</f>
        <v>0</v>
      </c>
      <c r="O28" s="391">
        <f ca="1">SUM(O23:OFFSET(O23,PRODUCTS_NUM-1,0))</f>
        <v>0</v>
      </c>
      <c r="P28" s="391">
        <f ca="1">SUM(P23:OFFSET(P23,PRODUCTS_NUM-1,0))</f>
        <v>0</v>
      </c>
      <c r="Q28" s="391">
        <f ca="1">SUM(Q23:OFFSET(Q23,PRODUCTS_NUM-1,0))</f>
        <v>0</v>
      </c>
    </row>
    <row r="29" spans="1:5" s="298" customFormat="1" ht="10.5">
      <c r="A29" s="298" t="s">
        <v>214</v>
      </c>
      <c r="D29" s="299"/>
      <c r="E29" s="298" t="s">
        <v>215</v>
      </c>
    </row>
    <row r="30" spans="1:17" ht="10.5">
      <c r="A30" s="228"/>
      <c r="B30" s="228"/>
      <c r="C30" s="228"/>
      <c r="D30" s="297"/>
      <c r="E30" s="390">
        <f>Производство!B34/(1+$C16)</f>
        <v>0</v>
      </c>
      <c r="F30" s="390">
        <f>Производство!C34/(1+$C16)</f>
        <v>0</v>
      </c>
      <c r="G30" s="390">
        <f>Производство!D34/(1+$C16)</f>
        <v>270000</v>
      </c>
      <c r="H30" s="390">
        <f>Производство!E34/(1+$C16)</f>
        <v>540000</v>
      </c>
      <c r="I30" s="390">
        <f>Производство!F34/(1+$C16)</f>
        <v>540000</v>
      </c>
      <c r="J30" s="390">
        <f>Производство!G34/(1+$C16)</f>
        <v>540000</v>
      </c>
      <c r="K30" s="390">
        <f>Производство!H34/(1+$C16)</f>
        <v>540000</v>
      </c>
      <c r="L30" s="390">
        <f>Производство!I34/(1+$C16)</f>
        <v>540000</v>
      </c>
      <c r="M30" s="390">
        <f>Производство!J34/(1+$C16)</f>
        <v>540000</v>
      </c>
      <c r="N30" s="390">
        <f>Производство!K34/(1+$C16)</f>
        <v>540000</v>
      </c>
      <c r="O30" s="390">
        <f>Производство!L34/(1+$C16)</f>
        <v>540000</v>
      </c>
      <c r="P30" s="390">
        <f>Производство!M34/(1+$C16)</f>
        <v>540000</v>
      </c>
      <c r="Q30" s="390">
        <f>Производство!N34/(1+$C16)</f>
        <v>540000</v>
      </c>
    </row>
    <row r="31" spans="1:17" ht="10.5">
      <c r="A31" s="228"/>
      <c r="B31" s="228"/>
      <c r="C31" s="228"/>
      <c r="D31" s="297"/>
      <c r="E31" s="390">
        <f>Производство!B35/(1+$C17)</f>
        <v>0</v>
      </c>
      <c r="F31" s="390">
        <f>Производство!C35/(1+$C17)</f>
        <v>0</v>
      </c>
      <c r="G31" s="390">
        <f>Производство!D35/(1+$C17)</f>
        <v>10000</v>
      </c>
      <c r="H31" s="390">
        <f>Производство!E35/(1+$C17)</f>
        <v>300000</v>
      </c>
      <c r="I31" s="390">
        <f>Производство!F35/(1+$C17)</f>
        <v>900000</v>
      </c>
      <c r="J31" s="390">
        <f>Производство!G35/(1+$C17)</f>
        <v>1500000</v>
      </c>
      <c r="K31" s="390">
        <f>Производство!H35/(1+$C17)</f>
        <v>1800000</v>
      </c>
      <c r="L31" s="390">
        <f>Производство!I35/(1+$C17)</f>
        <v>1800000</v>
      </c>
      <c r="M31" s="390">
        <f>Производство!J35/(1+$C17)</f>
        <v>1200000</v>
      </c>
      <c r="N31" s="390">
        <f>Производство!K35/(1+$C17)</f>
        <v>1200000</v>
      </c>
      <c r="O31" s="390">
        <f>Производство!L35/(1+$C17)</f>
        <v>2400000</v>
      </c>
      <c r="P31" s="390">
        <f>Производство!M35/(1+$C17)</f>
        <v>3000000</v>
      </c>
      <c r="Q31" s="390">
        <f>Производство!N35/(1+$C17)</f>
        <v>3000000</v>
      </c>
    </row>
    <row r="32" spans="1:17" ht="10.5">
      <c r="A32" s="228"/>
      <c r="B32" s="228"/>
      <c r="C32" s="228"/>
      <c r="D32" s="297"/>
      <c r="E32" s="390">
        <f>Производство!B36/(1+$C18)</f>
        <v>0</v>
      </c>
      <c r="F32" s="390">
        <f>Производство!C36/(1+$C18)</f>
        <v>0</v>
      </c>
      <c r="G32" s="390">
        <f>Производство!D36/(1+$C18)</f>
        <v>40000</v>
      </c>
      <c r="H32" s="390">
        <f>Производство!E36/(1+$C18)</f>
        <v>40000</v>
      </c>
      <c r="I32" s="390">
        <f>Производство!F36/(1+$C18)</f>
        <v>40000</v>
      </c>
      <c r="J32" s="390">
        <f>Производство!G36/(1+$C18)</f>
        <v>40000</v>
      </c>
      <c r="K32" s="390">
        <f>Производство!H36/(1+$C18)</f>
        <v>40000</v>
      </c>
      <c r="L32" s="390">
        <f>Производство!I36/(1+$C18)</f>
        <v>40000</v>
      </c>
      <c r="M32" s="390">
        <f>Производство!J36/(1+$C18)</f>
        <v>40000</v>
      </c>
      <c r="N32" s="390">
        <f>Производство!K36/(1+$C18)</f>
        <v>40000</v>
      </c>
      <c r="O32" s="390">
        <f>Производство!L36/(1+$C18)</f>
        <v>40000</v>
      </c>
      <c r="P32" s="390">
        <f>Производство!M36/(1+$C18)</f>
        <v>40000</v>
      </c>
      <c r="Q32" s="390">
        <f>Производство!N36/(1+$C18)</f>
        <v>40000</v>
      </c>
    </row>
    <row r="33" spans="1:17" ht="10.5">
      <c r="A33" s="228"/>
      <c r="B33" s="228"/>
      <c r="C33" s="228"/>
      <c r="D33" s="297"/>
      <c r="E33" s="390">
        <f>Производство!B37/(1+$C19)</f>
        <v>0</v>
      </c>
      <c r="F33" s="390">
        <f>Производство!C37/(1+$C19)</f>
        <v>0</v>
      </c>
      <c r="G33" s="390">
        <f>Производство!D37/(1+$C19)</f>
        <v>40000</v>
      </c>
      <c r="H33" s="390">
        <f>Производство!E37/(1+$C19)</f>
        <v>60000</v>
      </c>
      <c r="I33" s="390">
        <f>Производство!F37/(1+$C19)</f>
        <v>80000</v>
      </c>
      <c r="J33" s="390">
        <f>Производство!G37/(1+$C19)</f>
        <v>400000</v>
      </c>
      <c r="K33" s="390">
        <f>Производство!H37/(1+$C19)</f>
        <v>400000</v>
      </c>
      <c r="L33" s="390">
        <f>Производство!I37/(1+$C19)</f>
        <v>400000</v>
      </c>
      <c r="M33" s="390">
        <f>Производство!J37/(1+$C19)</f>
        <v>400000</v>
      </c>
      <c r="N33" s="390">
        <f>Производство!K37/(1+$C19)</f>
        <v>400000</v>
      </c>
      <c r="O33" s="390">
        <f>Производство!L37/(1+$C19)</f>
        <v>400000</v>
      </c>
      <c r="P33" s="390">
        <f>Производство!M37/(1+$C19)</f>
        <v>400000</v>
      </c>
      <c r="Q33" s="390">
        <f>Производство!N37/(1+$C19)</f>
        <v>400000</v>
      </c>
    </row>
    <row r="34" spans="1:17" ht="10.5">
      <c r="A34" s="228"/>
      <c r="B34" s="228"/>
      <c r="C34" s="228"/>
      <c r="D34" s="297"/>
      <c r="E34" s="390">
        <f>Производство!B38/(1+$C20)</f>
        <v>0</v>
      </c>
      <c r="F34" s="390">
        <f>Производство!C38/(1+$C20)</f>
        <v>0</v>
      </c>
      <c r="G34" s="390">
        <f>Производство!D38/(1+$C20)</f>
        <v>50000</v>
      </c>
      <c r="H34" s="390">
        <f>Производство!E38/(1+$C20)</f>
        <v>50000</v>
      </c>
      <c r="I34" s="390">
        <f>Производство!F38/(1+$C20)</f>
        <v>100000</v>
      </c>
      <c r="J34" s="390">
        <f>Производство!G38/(1+$C20)</f>
        <v>100000</v>
      </c>
      <c r="K34" s="390">
        <f>Производство!H38/(1+$C20)</f>
        <v>100000</v>
      </c>
      <c r="L34" s="390">
        <f>Производство!I38/(1+$C20)</f>
        <v>100000</v>
      </c>
      <c r="M34" s="390">
        <f>Производство!J38/(1+$C20)</f>
        <v>100000</v>
      </c>
      <c r="N34" s="390">
        <f>Производство!K38/(1+$C20)</f>
        <v>100000</v>
      </c>
      <c r="O34" s="390">
        <f>Производство!L38/(1+$C20)</f>
        <v>100000</v>
      </c>
      <c r="P34" s="390">
        <f>Производство!M38/(1+$C20)</f>
        <v>100000</v>
      </c>
      <c r="Q34" s="390">
        <f>Производство!N38/(1+$C20)</f>
        <v>100000</v>
      </c>
    </row>
    <row r="35" spans="4:17" s="228" customFormat="1" ht="10.5">
      <c r="D35" s="297" t="s">
        <v>180</v>
      </c>
      <c r="E35" s="391">
        <f ca="1">SUM(E30:OFFSET(E30,PRODUCTS_NUM-1,0))</f>
        <v>0</v>
      </c>
      <c r="F35" s="391">
        <f ca="1">SUM(F30:OFFSET(F30,PRODUCTS_NUM-1,0))</f>
        <v>0</v>
      </c>
      <c r="G35" s="391">
        <f ca="1">SUM(G30:OFFSET(G30,PRODUCTS_NUM-1,0))</f>
        <v>410000</v>
      </c>
      <c r="H35" s="391">
        <f ca="1">SUM(H30:OFFSET(H30,PRODUCTS_NUM-1,0))</f>
        <v>990000</v>
      </c>
      <c r="I35" s="391">
        <f ca="1">SUM(I30:OFFSET(I30,PRODUCTS_NUM-1,0))</f>
        <v>1660000</v>
      </c>
      <c r="J35" s="391">
        <f ca="1">SUM(J30:OFFSET(J30,PRODUCTS_NUM-1,0))</f>
        <v>2580000</v>
      </c>
      <c r="K35" s="391">
        <f ca="1">SUM(K30:OFFSET(K30,PRODUCTS_NUM-1,0))</f>
        <v>2880000</v>
      </c>
      <c r="L35" s="391">
        <f ca="1">SUM(L30:OFFSET(L30,PRODUCTS_NUM-1,0))</f>
        <v>2880000</v>
      </c>
      <c r="M35" s="391">
        <f ca="1">SUM(M30:OFFSET(M30,PRODUCTS_NUM-1,0))</f>
        <v>2280000</v>
      </c>
      <c r="N35" s="391">
        <f ca="1">SUM(N30:OFFSET(N30,PRODUCTS_NUM-1,0))</f>
        <v>2280000</v>
      </c>
      <c r="O35" s="391">
        <f ca="1">SUM(O30:OFFSET(O30,PRODUCTS_NUM-1,0))</f>
        <v>3480000</v>
      </c>
      <c r="P35" s="391">
        <f ca="1">SUM(P30:OFFSET(P30,PRODUCTS_NUM-1,0))</f>
        <v>4080000</v>
      </c>
      <c r="Q35" s="391">
        <f ca="1">SUM(Q30:OFFSET(Q30,PRODUCTS_NUM-1,0))</f>
        <v>4080000</v>
      </c>
    </row>
    <row r="36" s="347" customFormat="1" ht="10.5">
      <c r="D36" s="348"/>
    </row>
    <row r="37" spans="1:3" ht="10.5">
      <c r="A37" s="343" t="s">
        <v>95</v>
      </c>
      <c r="B37" s="343" t="s">
        <v>101</v>
      </c>
      <c r="C37" s="343" t="s">
        <v>102</v>
      </c>
    </row>
    <row r="38" spans="1:5" s="298" customFormat="1" ht="10.5">
      <c r="A38" s="298" t="s">
        <v>0</v>
      </c>
      <c r="D38" s="299"/>
      <c r="E38" s="298" t="s">
        <v>9</v>
      </c>
    </row>
    <row r="39" spans="1:17" ht="10.5">
      <c r="A39" s="51">
        <v>-1</v>
      </c>
      <c r="B39" s="51">
        <v>-1</v>
      </c>
      <c r="C39" s="51">
        <v>90</v>
      </c>
      <c r="D39" s="297">
        <v>-1</v>
      </c>
      <c r="E39" s="351">
        <f ca="1">IF((COLUMN()-4+$B46)&lt;=PRJ_DURATION,(1-$C46)*OFFSET(Производство!B15,0,$B46),0)+IF((COLUMN()-4+$B46)&lt;PRJ_DURATION,$C46*OFFSET(Производство!B15,0,$B46+1),0)+A46</f>
        <v>0</v>
      </c>
      <c r="F39" s="351">
        <f ca="1">IF((COLUMN()-4+$B46)&lt;=PRJ_DURATION,(1-$C46)*OFFSET(Производство!C15,0,$B46),0)+IF((COLUMN()-4+$B46)&lt;PRJ_DURATION,$C46*OFFSET(Производство!C15,0,$B46+1),0)</f>
        <v>0</v>
      </c>
      <c r="G39" s="351">
        <f ca="1">IF((COLUMN()-4+$B46)&lt;=PRJ_DURATION,(1-$C46)*OFFSET(Производство!D15,0,$B46),0)+IF((COLUMN()-4+$B46)&lt;PRJ_DURATION,$C46*OFFSET(Производство!D15,0,$B46+1),0)</f>
        <v>0</v>
      </c>
      <c r="H39" s="351">
        <f ca="1">IF((COLUMN()-4+$B46)&lt;=PRJ_DURATION,(1-$C46)*OFFSET(Производство!E15,0,$B46),0)+IF((COLUMN()-4+$B46)&lt;PRJ_DURATION,$C46*OFFSET(Производство!E15,0,$B46+1),0)</f>
        <v>0</v>
      </c>
      <c r="I39" s="351">
        <f ca="1">IF((COLUMN()-4+$B46)&lt;=PRJ_DURATION,(1-$C46)*OFFSET(Производство!F15,0,$B46),0)+IF((COLUMN()-4+$B46)&lt;PRJ_DURATION,$C46*OFFSET(Производство!F15,0,$B46+1),0)</f>
        <v>0</v>
      </c>
      <c r="J39" s="351">
        <f ca="1">IF((COLUMN()-4+$B46)&lt;=PRJ_DURATION,(1-$C46)*OFFSET(Производство!G15,0,$B46),0)+IF((COLUMN()-4+$B46)&lt;PRJ_DURATION,$C46*OFFSET(Производство!G15,0,$B46+1),0)</f>
        <v>0</v>
      </c>
      <c r="K39" s="351">
        <f ca="1">IF((COLUMN()-4+$B46)&lt;=PRJ_DURATION,(1-$C46)*OFFSET(Производство!H15,0,$B46),0)+IF((COLUMN()-4+$B46)&lt;PRJ_DURATION,$C46*OFFSET(Производство!H15,0,$B46+1),0)</f>
        <v>0</v>
      </c>
      <c r="L39" s="351">
        <f ca="1">IF((COLUMN()-4+$B46)&lt;=PRJ_DURATION,(1-$C46)*OFFSET(Производство!I15,0,$B46),0)+IF((COLUMN()-4+$B46)&lt;PRJ_DURATION,$C46*OFFSET(Производство!I15,0,$B46+1),0)</f>
        <v>0</v>
      </c>
      <c r="M39" s="351">
        <f ca="1">IF((COLUMN()-4+$B46)&lt;=PRJ_DURATION,(1-$C46)*OFFSET(Производство!J15,0,$B46),0)+IF((COLUMN()-4+$B46)&lt;PRJ_DURATION,$C46*OFFSET(Производство!J15,0,$B46+1),0)</f>
        <v>0</v>
      </c>
      <c r="N39" s="351">
        <f ca="1">IF((COLUMN()-4+$B46)&lt;=PRJ_DURATION,(1-$C46)*OFFSET(Производство!K15,0,$B46),0)+IF((COLUMN()-4+$B46)&lt;PRJ_DURATION,$C46*OFFSET(Производство!K15,0,$B46+1),0)</f>
        <v>0</v>
      </c>
      <c r="O39" s="351">
        <f ca="1">IF((COLUMN()-4+$B46)&lt;=PRJ_DURATION,(1-$C46)*OFFSET(Производство!L15,0,$B46),0)+IF((COLUMN()-4+$B46)&lt;PRJ_DURATION,$C46*OFFSET(Производство!L15,0,$B46+1),0)</f>
        <v>0</v>
      </c>
      <c r="P39" s="351">
        <f ca="1">IF((COLUMN()-4+$B46)&lt;=PRJ_DURATION,(1-$C46)*OFFSET(Производство!M15,0,$B46),0)+IF((COLUMN()-4+$B46)&lt;PRJ_DURATION,$C46*OFFSET(Производство!M15,0,$B46+1),0)</f>
        <v>0</v>
      </c>
      <c r="Q39" s="351">
        <f ca="1">IF((COLUMN()-4+$B46)&lt;=PRJ_DURATION,(1-$C46)*OFFSET(Производство!N15,0,$B46),0)+IF((COLUMN()-4+$B46)&lt;PRJ_DURATION,$C46*OFFSET(Производство!N15,0,$B46+1),0)</f>
        <v>0</v>
      </c>
    </row>
    <row r="40" spans="1:17" ht="10.5">
      <c r="A40" s="51">
        <v>-1</v>
      </c>
      <c r="B40" s="51">
        <v>-1</v>
      </c>
      <c r="C40" s="51">
        <v>-1</v>
      </c>
      <c r="D40" s="297">
        <v>-1</v>
      </c>
      <c r="E40" s="351">
        <f ca="1">IF((COLUMN()-4+$B47)&lt;=PRJ_DURATION,(1-$C47)*OFFSET(Производство!B16,0,$B47),0)+IF((COLUMN()-4+$B47)&lt;PRJ_DURATION,$C47*OFFSET(Производство!B16,0,$B47+1),0)+A47</f>
        <v>0</v>
      </c>
      <c r="F40" s="351">
        <f ca="1">IF((COLUMN()-4+$B47)&lt;=PRJ_DURATION,(1-$C47)*OFFSET(Производство!C16,0,$B47),0)+IF((COLUMN()-4+$B47)&lt;PRJ_DURATION,$C47*OFFSET(Производство!C16,0,$B47+1),0)</f>
        <v>0</v>
      </c>
      <c r="G40" s="351">
        <f ca="1">IF((COLUMN()-4+$B47)&lt;=PRJ_DURATION,(1-$C47)*OFFSET(Производство!D16,0,$B47),0)+IF((COLUMN()-4+$B47)&lt;PRJ_DURATION,$C47*OFFSET(Производство!D16,0,$B47+1),0)</f>
        <v>0</v>
      </c>
      <c r="H40" s="351">
        <f ca="1">IF((COLUMN()-4+$B47)&lt;=PRJ_DURATION,(1-$C47)*OFFSET(Производство!E16,0,$B47),0)+IF((COLUMN()-4+$B47)&lt;PRJ_DURATION,$C47*OFFSET(Производство!E16,0,$B47+1),0)</f>
        <v>0</v>
      </c>
      <c r="I40" s="351">
        <f ca="1">IF((COLUMN()-4+$B47)&lt;=PRJ_DURATION,(1-$C47)*OFFSET(Производство!F16,0,$B47),0)+IF((COLUMN()-4+$B47)&lt;PRJ_DURATION,$C47*OFFSET(Производство!F16,0,$B47+1),0)</f>
        <v>0</v>
      </c>
      <c r="J40" s="351">
        <f ca="1">IF((COLUMN()-4+$B47)&lt;=PRJ_DURATION,(1-$C47)*OFFSET(Производство!G16,0,$B47),0)+IF((COLUMN()-4+$B47)&lt;PRJ_DURATION,$C47*OFFSET(Производство!G16,0,$B47+1),0)</f>
        <v>0</v>
      </c>
      <c r="K40" s="351">
        <f ca="1">IF((COLUMN()-4+$B47)&lt;=PRJ_DURATION,(1-$C47)*OFFSET(Производство!H16,0,$B47),0)+IF((COLUMN()-4+$B47)&lt;PRJ_DURATION,$C47*OFFSET(Производство!H16,0,$B47+1),0)</f>
        <v>0</v>
      </c>
      <c r="L40" s="351">
        <f ca="1">IF((COLUMN()-4+$B47)&lt;=PRJ_DURATION,(1-$C47)*OFFSET(Производство!I16,0,$B47),0)+IF((COLUMN()-4+$B47)&lt;PRJ_DURATION,$C47*OFFSET(Производство!I16,0,$B47+1),0)</f>
        <v>0</v>
      </c>
      <c r="M40" s="351">
        <f ca="1">IF((COLUMN()-4+$B47)&lt;=PRJ_DURATION,(1-$C47)*OFFSET(Производство!J16,0,$B47),0)+IF((COLUMN()-4+$B47)&lt;PRJ_DURATION,$C47*OFFSET(Производство!J16,0,$B47+1),0)</f>
        <v>0</v>
      </c>
      <c r="N40" s="351">
        <f ca="1">IF((COLUMN()-4+$B47)&lt;=PRJ_DURATION,(1-$C47)*OFFSET(Производство!K16,0,$B47),0)+IF((COLUMN()-4+$B47)&lt;PRJ_DURATION,$C47*OFFSET(Производство!K16,0,$B47+1),0)</f>
        <v>0</v>
      </c>
      <c r="O40" s="351">
        <f ca="1">IF((COLUMN()-4+$B47)&lt;=PRJ_DURATION,(1-$C47)*OFFSET(Производство!L16,0,$B47),0)+IF((COLUMN()-4+$B47)&lt;PRJ_DURATION,$C47*OFFSET(Производство!L16,0,$B47+1),0)</f>
        <v>0</v>
      </c>
      <c r="P40" s="351">
        <f ca="1">IF((COLUMN()-4+$B47)&lt;=PRJ_DURATION,(1-$C47)*OFFSET(Производство!M16,0,$B47),0)+IF((COLUMN()-4+$B47)&lt;PRJ_DURATION,$C47*OFFSET(Производство!M16,0,$B47+1),0)</f>
        <v>0</v>
      </c>
      <c r="Q40" s="351">
        <f ca="1">IF((COLUMN()-4+$B47)&lt;=PRJ_DURATION,(1-$C47)*OFFSET(Производство!N16,0,$B47),0)+IF((COLUMN()-4+$B47)&lt;PRJ_DURATION,$C47*OFFSET(Производство!N16,0,$B47+1),0)</f>
        <v>0</v>
      </c>
    </row>
    <row r="41" spans="1:17" ht="10.5">
      <c r="A41" s="51">
        <v>-1</v>
      </c>
      <c r="B41" s="51">
        <v>-1</v>
      </c>
      <c r="C41" s="51">
        <v>-1</v>
      </c>
      <c r="D41" s="297">
        <v>-1</v>
      </c>
      <c r="E41" s="351">
        <f ca="1">IF((COLUMN()-4+$B48)&lt;=PRJ_DURATION,(1-$C48)*OFFSET(Производство!B17,0,$B48),0)+IF((COLUMN()-4+$B48)&lt;PRJ_DURATION,$C48*OFFSET(Производство!B17,0,$B48+1),0)+A48</f>
        <v>0</v>
      </c>
      <c r="F41" s="351">
        <f ca="1">IF((COLUMN()-4+$B48)&lt;=PRJ_DURATION,(1-$C48)*OFFSET(Производство!C17,0,$B48),0)+IF((COLUMN()-4+$B48)&lt;PRJ_DURATION,$C48*OFFSET(Производство!C17,0,$B48+1),0)</f>
        <v>0</v>
      </c>
      <c r="G41" s="351">
        <f ca="1">IF((COLUMN()-4+$B48)&lt;=PRJ_DURATION,(1-$C48)*OFFSET(Производство!D17,0,$B48),0)+IF((COLUMN()-4+$B48)&lt;PRJ_DURATION,$C48*OFFSET(Производство!D17,0,$B48+1),0)</f>
        <v>0</v>
      </c>
      <c r="H41" s="351">
        <f ca="1">IF((COLUMN()-4+$B48)&lt;=PRJ_DURATION,(1-$C48)*OFFSET(Производство!E17,0,$B48),0)+IF((COLUMN()-4+$B48)&lt;PRJ_DURATION,$C48*OFFSET(Производство!E17,0,$B48+1),0)</f>
        <v>0</v>
      </c>
      <c r="I41" s="351">
        <f ca="1">IF((COLUMN()-4+$B48)&lt;=PRJ_DURATION,(1-$C48)*OFFSET(Производство!F17,0,$B48),0)+IF((COLUMN()-4+$B48)&lt;PRJ_DURATION,$C48*OFFSET(Производство!F17,0,$B48+1),0)</f>
        <v>0</v>
      </c>
      <c r="J41" s="351">
        <f ca="1">IF((COLUMN()-4+$B48)&lt;=PRJ_DURATION,(1-$C48)*OFFSET(Производство!G17,0,$B48),0)+IF((COLUMN()-4+$B48)&lt;PRJ_DURATION,$C48*OFFSET(Производство!G17,0,$B48+1),0)</f>
        <v>0</v>
      </c>
      <c r="K41" s="351">
        <f ca="1">IF((COLUMN()-4+$B48)&lt;=PRJ_DURATION,(1-$C48)*OFFSET(Производство!H17,0,$B48),0)+IF((COLUMN()-4+$B48)&lt;PRJ_DURATION,$C48*OFFSET(Производство!H17,0,$B48+1),0)</f>
        <v>0</v>
      </c>
      <c r="L41" s="351">
        <f ca="1">IF((COLUMN()-4+$B48)&lt;=PRJ_DURATION,(1-$C48)*OFFSET(Производство!I17,0,$B48),0)+IF((COLUMN()-4+$B48)&lt;PRJ_DURATION,$C48*OFFSET(Производство!I17,0,$B48+1),0)</f>
        <v>0</v>
      </c>
      <c r="M41" s="351">
        <f ca="1">IF((COLUMN()-4+$B48)&lt;=PRJ_DURATION,(1-$C48)*OFFSET(Производство!J17,0,$B48),0)+IF((COLUMN()-4+$B48)&lt;PRJ_DURATION,$C48*OFFSET(Производство!J17,0,$B48+1),0)</f>
        <v>0</v>
      </c>
      <c r="N41" s="351">
        <f ca="1">IF((COLUMN()-4+$B48)&lt;=PRJ_DURATION,(1-$C48)*OFFSET(Производство!K17,0,$B48),0)+IF((COLUMN()-4+$B48)&lt;PRJ_DURATION,$C48*OFFSET(Производство!K17,0,$B48+1),0)</f>
        <v>0</v>
      </c>
      <c r="O41" s="351">
        <f ca="1">IF((COLUMN()-4+$B48)&lt;=PRJ_DURATION,(1-$C48)*OFFSET(Производство!L17,0,$B48),0)+IF((COLUMN()-4+$B48)&lt;PRJ_DURATION,$C48*OFFSET(Производство!L17,0,$B48+1),0)</f>
        <v>0</v>
      </c>
      <c r="P41" s="351">
        <f ca="1">IF((COLUMN()-4+$B48)&lt;=PRJ_DURATION,(1-$C48)*OFFSET(Производство!M17,0,$B48),0)+IF((COLUMN()-4+$B48)&lt;PRJ_DURATION,$C48*OFFSET(Производство!M17,0,$B48+1),0)</f>
        <v>0</v>
      </c>
      <c r="Q41" s="351">
        <f ca="1">IF((COLUMN()-4+$B48)&lt;=PRJ_DURATION,(1-$C48)*OFFSET(Производство!N17,0,$B48),0)+IF((COLUMN()-4+$B48)&lt;PRJ_DURATION,$C48*OFFSET(Производство!N17,0,$B48+1),0)</f>
        <v>0</v>
      </c>
    </row>
    <row r="42" spans="1:17" ht="10.5">
      <c r="A42" s="51">
        <v>-1</v>
      </c>
      <c r="B42" s="51">
        <v>-1</v>
      </c>
      <c r="C42" s="51">
        <v>-1</v>
      </c>
      <c r="D42" s="297">
        <v>-1</v>
      </c>
      <c r="E42" s="351">
        <f ca="1">IF((COLUMN()-4+$B49)&lt;=PRJ_DURATION,(1-$C49)*OFFSET(Производство!B18,0,$B49),0)+IF((COLUMN()-4+$B49)&lt;PRJ_DURATION,$C49*OFFSET(Производство!B18,0,$B49+1),0)+A49</f>
        <v>0</v>
      </c>
      <c r="F42" s="351">
        <f ca="1">IF((COLUMN()-4+$B49)&lt;=PRJ_DURATION,(1-$C49)*OFFSET(Производство!C18,0,$B49),0)+IF((COLUMN()-4+$B49)&lt;PRJ_DURATION,$C49*OFFSET(Производство!C18,0,$B49+1),0)</f>
        <v>0</v>
      </c>
      <c r="G42" s="351">
        <f ca="1">IF((COLUMN()-4+$B49)&lt;=PRJ_DURATION,(1-$C49)*OFFSET(Производство!D18,0,$B49),0)+IF((COLUMN()-4+$B49)&lt;PRJ_DURATION,$C49*OFFSET(Производство!D18,0,$B49+1),0)</f>
        <v>0</v>
      </c>
      <c r="H42" s="351">
        <f ca="1">IF((COLUMN()-4+$B49)&lt;=PRJ_DURATION,(1-$C49)*OFFSET(Производство!E18,0,$B49),0)+IF((COLUMN()-4+$B49)&lt;PRJ_DURATION,$C49*OFFSET(Производство!E18,0,$B49+1),0)</f>
        <v>0</v>
      </c>
      <c r="I42" s="351">
        <f ca="1">IF((COLUMN()-4+$B49)&lt;=PRJ_DURATION,(1-$C49)*OFFSET(Производство!F18,0,$B49),0)+IF((COLUMN()-4+$B49)&lt;PRJ_DURATION,$C49*OFFSET(Производство!F18,0,$B49+1),0)</f>
        <v>0</v>
      </c>
      <c r="J42" s="351">
        <f ca="1">IF((COLUMN()-4+$B49)&lt;=PRJ_DURATION,(1-$C49)*OFFSET(Производство!G18,0,$B49),0)+IF((COLUMN()-4+$B49)&lt;PRJ_DURATION,$C49*OFFSET(Производство!G18,0,$B49+1),0)</f>
        <v>0</v>
      </c>
      <c r="K42" s="351">
        <f ca="1">IF((COLUMN()-4+$B49)&lt;=PRJ_DURATION,(1-$C49)*OFFSET(Производство!H18,0,$B49),0)+IF((COLUMN()-4+$B49)&lt;PRJ_DURATION,$C49*OFFSET(Производство!H18,0,$B49+1),0)</f>
        <v>0</v>
      </c>
      <c r="L42" s="351">
        <f ca="1">IF((COLUMN()-4+$B49)&lt;=PRJ_DURATION,(1-$C49)*OFFSET(Производство!I18,0,$B49),0)+IF((COLUMN()-4+$B49)&lt;PRJ_DURATION,$C49*OFFSET(Производство!I18,0,$B49+1),0)</f>
        <v>0</v>
      </c>
      <c r="M42" s="351">
        <f ca="1">IF((COLUMN()-4+$B49)&lt;=PRJ_DURATION,(1-$C49)*OFFSET(Производство!J18,0,$B49),0)+IF((COLUMN()-4+$B49)&lt;PRJ_DURATION,$C49*OFFSET(Производство!J18,0,$B49+1),0)</f>
        <v>0</v>
      </c>
      <c r="N42" s="351">
        <f ca="1">IF((COLUMN()-4+$B49)&lt;=PRJ_DURATION,(1-$C49)*OFFSET(Производство!K18,0,$B49),0)+IF((COLUMN()-4+$B49)&lt;PRJ_DURATION,$C49*OFFSET(Производство!K18,0,$B49+1),0)</f>
        <v>0</v>
      </c>
      <c r="O42" s="351">
        <f ca="1">IF((COLUMN()-4+$B49)&lt;=PRJ_DURATION,(1-$C49)*OFFSET(Производство!L18,0,$B49),0)+IF((COLUMN()-4+$B49)&lt;PRJ_DURATION,$C49*OFFSET(Производство!L18,0,$B49+1),0)</f>
        <v>0</v>
      </c>
      <c r="P42" s="351">
        <f ca="1">IF((COLUMN()-4+$B49)&lt;=PRJ_DURATION,(1-$C49)*OFFSET(Производство!M18,0,$B49),0)+IF((COLUMN()-4+$B49)&lt;PRJ_DURATION,$C49*OFFSET(Производство!M18,0,$B49+1),0)</f>
        <v>0</v>
      </c>
      <c r="Q42" s="351">
        <f ca="1">IF((COLUMN()-4+$B49)&lt;=PRJ_DURATION,(1-$C49)*OFFSET(Производство!N18,0,$B49),0)+IF((COLUMN()-4+$B49)&lt;PRJ_DURATION,$C49*OFFSET(Производство!N18,0,$B49+1),0)</f>
        <v>0</v>
      </c>
    </row>
    <row r="43" spans="1:17" ht="10.5">
      <c r="A43" s="51">
        <v>-1</v>
      </c>
      <c r="B43" s="51">
        <v>-1</v>
      </c>
      <c r="C43" s="51">
        <v>-1</v>
      </c>
      <c r="D43" s="297">
        <v>-1</v>
      </c>
      <c r="E43" s="351">
        <f ca="1">IF((COLUMN()-4+$B50)&lt;=PRJ_DURATION,(1-$C50)*OFFSET(Производство!B19,0,$B50),0)+IF((COLUMN()-4+$B50)&lt;PRJ_DURATION,$C50*OFFSET(Производство!B19,0,$B50+1),0)+A50</f>
        <v>0</v>
      </c>
      <c r="F43" s="351">
        <f ca="1">IF((COLUMN()-4+$B50)&lt;=PRJ_DURATION,(1-$C50)*OFFSET(Производство!C19,0,$B50),0)+IF((COLUMN()-4+$B50)&lt;PRJ_DURATION,$C50*OFFSET(Производство!C19,0,$B50+1),0)</f>
        <v>0</v>
      </c>
      <c r="G43" s="351">
        <f ca="1">IF((COLUMN()-4+$B50)&lt;=PRJ_DURATION,(1-$C50)*OFFSET(Производство!D19,0,$B50),0)+IF((COLUMN()-4+$B50)&lt;PRJ_DURATION,$C50*OFFSET(Производство!D19,0,$B50+1),0)</f>
        <v>0</v>
      </c>
      <c r="H43" s="351">
        <f ca="1">IF((COLUMN()-4+$B50)&lt;=PRJ_DURATION,(1-$C50)*OFFSET(Производство!E19,0,$B50),0)+IF((COLUMN()-4+$B50)&lt;PRJ_DURATION,$C50*OFFSET(Производство!E19,0,$B50+1),0)</f>
        <v>0</v>
      </c>
      <c r="I43" s="351">
        <f ca="1">IF((COLUMN()-4+$B50)&lt;=PRJ_DURATION,(1-$C50)*OFFSET(Производство!F19,0,$B50),0)+IF((COLUMN()-4+$B50)&lt;PRJ_DURATION,$C50*OFFSET(Производство!F19,0,$B50+1),0)</f>
        <v>0</v>
      </c>
      <c r="J43" s="351">
        <f ca="1">IF((COLUMN()-4+$B50)&lt;=PRJ_DURATION,(1-$C50)*OFFSET(Производство!G19,0,$B50),0)+IF((COLUMN()-4+$B50)&lt;PRJ_DURATION,$C50*OFFSET(Производство!G19,0,$B50+1),0)</f>
        <v>0</v>
      </c>
      <c r="K43" s="351">
        <f ca="1">IF((COLUMN()-4+$B50)&lt;=PRJ_DURATION,(1-$C50)*OFFSET(Производство!H19,0,$B50),0)+IF((COLUMN()-4+$B50)&lt;PRJ_DURATION,$C50*OFFSET(Производство!H19,0,$B50+1),0)</f>
        <v>0</v>
      </c>
      <c r="L43" s="351">
        <f ca="1">IF((COLUMN()-4+$B50)&lt;=PRJ_DURATION,(1-$C50)*OFFSET(Производство!I19,0,$B50),0)+IF((COLUMN()-4+$B50)&lt;PRJ_DURATION,$C50*OFFSET(Производство!I19,0,$B50+1),0)</f>
        <v>0</v>
      </c>
      <c r="M43" s="351">
        <f ca="1">IF((COLUMN()-4+$B50)&lt;=PRJ_DURATION,(1-$C50)*OFFSET(Производство!J19,0,$B50),0)+IF((COLUMN()-4+$B50)&lt;PRJ_DURATION,$C50*OFFSET(Производство!J19,0,$B50+1),0)</f>
        <v>0</v>
      </c>
      <c r="N43" s="351">
        <f ca="1">IF((COLUMN()-4+$B50)&lt;=PRJ_DURATION,(1-$C50)*OFFSET(Производство!K19,0,$B50),0)+IF((COLUMN()-4+$B50)&lt;PRJ_DURATION,$C50*OFFSET(Производство!K19,0,$B50+1),0)</f>
        <v>0</v>
      </c>
      <c r="O43" s="351">
        <f ca="1">IF((COLUMN()-4+$B50)&lt;=PRJ_DURATION,(1-$C50)*OFFSET(Производство!L19,0,$B50),0)+IF((COLUMN()-4+$B50)&lt;PRJ_DURATION,$C50*OFFSET(Производство!L19,0,$B50+1),0)</f>
        <v>0</v>
      </c>
      <c r="P43" s="351">
        <f ca="1">IF((COLUMN()-4+$B50)&lt;=PRJ_DURATION,(1-$C50)*OFFSET(Производство!M19,0,$B50),0)+IF((COLUMN()-4+$B50)&lt;PRJ_DURATION,$C50*OFFSET(Производство!M19,0,$B50+1),0)</f>
        <v>0</v>
      </c>
      <c r="Q43" s="351">
        <f ca="1">IF((COLUMN()-4+$B50)&lt;=PRJ_DURATION,(1-$C50)*OFFSET(Производство!N19,0,$B50),0)+IF((COLUMN()-4+$B50)&lt;PRJ_DURATION,$C50*OFFSET(Производство!N19,0,$B50+1),0)</f>
        <v>0</v>
      </c>
    </row>
    <row r="44" spans="1:17" s="228" customFormat="1" ht="10.5">
      <c r="A44" s="344" t="s">
        <v>6</v>
      </c>
      <c r="B44" s="345" t="s">
        <v>7</v>
      </c>
      <c r="C44" s="345" t="s">
        <v>8</v>
      </c>
      <c r="D44" s="297" t="s">
        <v>180</v>
      </c>
      <c r="E44" s="350">
        <f ca="1">SUM(E39:OFFSET(E39,PRODUCTS_NUM-1,0))</f>
        <v>0</v>
      </c>
      <c r="F44" s="350">
        <f ca="1">SUM(F39:OFFSET(F39,PRODUCTS_NUM-1,0))</f>
        <v>0</v>
      </c>
      <c r="G44" s="350">
        <f ca="1">SUM(G39:OFFSET(G39,PRODUCTS_NUM-1,0))</f>
        <v>0</v>
      </c>
      <c r="H44" s="350">
        <f ca="1">SUM(H39:OFFSET(H39,PRODUCTS_NUM-1,0))</f>
        <v>0</v>
      </c>
      <c r="I44" s="350">
        <f ca="1">SUM(I39:OFFSET(I39,PRODUCTS_NUM-1,0))</f>
        <v>0</v>
      </c>
      <c r="J44" s="350">
        <f ca="1">SUM(J39:OFFSET(J39,PRODUCTS_NUM-1,0))</f>
        <v>0</v>
      </c>
      <c r="K44" s="350">
        <f ca="1">SUM(K39:OFFSET(K39,PRODUCTS_NUM-1,0))</f>
        <v>0</v>
      </c>
      <c r="L44" s="350">
        <f ca="1">SUM(L39:OFFSET(L39,PRODUCTS_NUM-1,0))</f>
        <v>0</v>
      </c>
      <c r="M44" s="350">
        <f ca="1">SUM(M39:OFFSET(M39,PRODUCTS_NUM-1,0))</f>
        <v>0</v>
      </c>
      <c r="N44" s="350">
        <f ca="1">SUM(N39:OFFSET(N39,PRODUCTS_NUM-1,0))</f>
        <v>0</v>
      </c>
      <c r="O44" s="350">
        <f ca="1">SUM(O39:OFFSET(O39,PRODUCTS_NUM-1,0))</f>
        <v>0</v>
      </c>
      <c r="P44" s="350">
        <f ca="1">SUM(P39:OFFSET(P39,PRODUCTS_NUM-1,0))</f>
        <v>0</v>
      </c>
      <c r="Q44" s="350">
        <f ca="1">SUM(Q39:OFFSET(Q39,PRODUCTS_NUM-1,0))</f>
        <v>0</v>
      </c>
    </row>
    <row r="45" spans="1:5" s="298" customFormat="1" ht="10.5">
      <c r="A45" s="298" t="s">
        <v>0</v>
      </c>
      <c r="D45" s="299"/>
      <c r="E45" s="298" t="s">
        <v>10</v>
      </c>
    </row>
    <row r="46" spans="1:17" ht="10.5">
      <c r="A46" s="228">
        <f ca="1">IF($B46&gt;0.99,SUM(Производство!$B15:OFFSET(Производство!$B15,0,MIN($B46,PRJ_DURATION)-1)),0)+IF($B46&lt;(PRJ_DURATION-1),$C46*OFFSET(Производство!$B15,0,$B46),0)</f>
        <v>0</v>
      </c>
      <c r="B46" s="228">
        <f>IF(B39=-1,INVENT_INT,INT(B39/30/PERIOD_LEN))</f>
        <v>0</v>
      </c>
      <c r="C46" s="228">
        <f>IF(B39=-1,INVENT_FRA,B39/30/PERIOD_LEN-B46)</f>
        <v>0</v>
      </c>
      <c r="D46" s="297"/>
      <c r="E46" s="351">
        <f>MAX(E39-MAX($B53,0),0)</f>
        <v>0</v>
      </c>
      <c r="F46" s="351">
        <f>MAX(F39-MAX($B53-SUM($E39:E39),0),0)</f>
        <v>0</v>
      </c>
      <c r="G46" s="351">
        <f>MAX(G39-MAX($B53-SUM($E39:F39),0),0)</f>
        <v>0</v>
      </c>
      <c r="H46" s="351">
        <f>MAX(H39-MAX($B53-SUM($E39:G39),0),0)</f>
        <v>0</v>
      </c>
      <c r="I46" s="351">
        <f>MAX(I39-MAX($B53-SUM($E39:H39),0),0)</f>
        <v>0</v>
      </c>
      <c r="J46" s="351">
        <f>MAX(J39-MAX($B53-SUM($E39:I39),0),0)</f>
        <v>0</v>
      </c>
      <c r="K46" s="351">
        <f>MAX(K39-MAX($B53-SUM($E39:J39),0),0)</f>
        <v>0</v>
      </c>
      <c r="L46" s="351">
        <f>MAX(L39-MAX($B53-SUM($E39:K39),0),0)</f>
        <v>0</v>
      </c>
      <c r="M46" s="351">
        <f>MAX(M39-MAX($B53-SUM($E39:L39),0),0)</f>
        <v>0</v>
      </c>
      <c r="N46" s="351">
        <f>MAX(N39-MAX($B53-SUM($E39:M39),0),0)</f>
        <v>0</v>
      </c>
      <c r="O46" s="351">
        <f>MAX(O39-MAX($B53-SUM($E39:N39),0),0)</f>
        <v>0</v>
      </c>
      <c r="P46" s="351">
        <f>MAX(P39-MAX($B53-SUM($E39:O39),0),0)</f>
        <v>0</v>
      </c>
      <c r="Q46" s="351">
        <f>MAX(Q39-MAX($B53-SUM($E39:P39),0),0)</f>
        <v>0</v>
      </c>
    </row>
    <row r="47" spans="1:17" ht="10.5">
      <c r="A47" s="228">
        <f ca="1">IF($B47&gt;0.99,SUM(Производство!$B16:OFFSET(Производство!$B16,0,MIN($B47,PRJ_DURATION)-1)),0)+IF($B47&lt;(PRJ_DURATION-1),$C47*OFFSET(Производство!$B16,0,$B47),0)</f>
        <v>0</v>
      </c>
      <c r="B47" s="228">
        <f>IF(B40=-1,INVENT_INT,INT(B40/30/PERIOD_LEN))</f>
        <v>0</v>
      </c>
      <c r="C47" s="228">
        <f>IF(B40=-1,INVENT_FRA,B40/30/PERIOD_LEN-B47)</f>
        <v>0</v>
      </c>
      <c r="D47" s="297"/>
      <c r="E47" s="351">
        <f>MAX(E40-MAX($B54,0),0)</f>
        <v>0</v>
      </c>
      <c r="F47" s="351">
        <f>MAX(F40-MAX($B54-SUM($E40:E40),0),0)</f>
        <v>0</v>
      </c>
      <c r="G47" s="351">
        <f>MAX(G40-MAX($B54-SUM($E40:F40),0),0)</f>
        <v>0</v>
      </c>
      <c r="H47" s="351">
        <f>MAX(H40-MAX($B54-SUM($E40:G40),0),0)</f>
        <v>0</v>
      </c>
      <c r="I47" s="351">
        <f>MAX(I40-MAX($B54-SUM($E40:H40),0),0)</f>
        <v>0</v>
      </c>
      <c r="J47" s="351">
        <f>MAX(J40-MAX($B54-SUM($E40:I40),0),0)</f>
        <v>0</v>
      </c>
      <c r="K47" s="351">
        <f>MAX(K40-MAX($B54-SUM($E40:J40),0),0)</f>
        <v>0</v>
      </c>
      <c r="L47" s="351">
        <f>MAX(L40-MAX($B54-SUM($E40:K40),0),0)</f>
        <v>0</v>
      </c>
      <c r="M47" s="351">
        <f>MAX(M40-MAX($B54-SUM($E40:L40),0),0)</f>
        <v>0</v>
      </c>
      <c r="N47" s="351">
        <f>MAX(N40-MAX($B54-SUM($E40:M40),0),0)</f>
        <v>0</v>
      </c>
      <c r="O47" s="351">
        <f>MAX(O40-MAX($B54-SUM($E40:N40),0),0)</f>
        <v>0</v>
      </c>
      <c r="P47" s="351">
        <f>MAX(P40-MAX($B54-SUM($E40:O40),0),0)</f>
        <v>0</v>
      </c>
      <c r="Q47" s="351">
        <f>MAX(Q40-MAX($B54-SUM($E40:P40),0),0)</f>
        <v>0</v>
      </c>
    </row>
    <row r="48" spans="1:17" ht="10.5">
      <c r="A48" s="228">
        <f ca="1">IF($B48&gt;0.99,SUM(Производство!$B17:OFFSET(Производство!$B17,0,MIN($B48,PRJ_DURATION)-1)),0)+IF($B48&lt;(PRJ_DURATION-1),$C48*OFFSET(Производство!$B17,0,$B48),0)</f>
        <v>0</v>
      </c>
      <c r="B48" s="228">
        <f>IF(B41=-1,INVENT_INT,INT(B41/30/PERIOD_LEN))</f>
        <v>0</v>
      </c>
      <c r="C48" s="228">
        <f>IF(B41=-1,INVENT_FRA,B41/30/PERIOD_LEN-B48)</f>
        <v>0</v>
      </c>
      <c r="D48" s="297"/>
      <c r="E48" s="351">
        <f>MAX(E41-MAX($B55,0),0)</f>
        <v>0</v>
      </c>
      <c r="F48" s="351">
        <f>MAX(F41-MAX($B55-SUM($E41:E41),0),0)</f>
        <v>0</v>
      </c>
      <c r="G48" s="351">
        <f>MAX(G41-MAX($B55-SUM($E41:F41),0),0)</f>
        <v>0</v>
      </c>
      <c r="H48" s="351">
        <f>MAX(H41-MAX($B55-SUM($E41:G41),0),0)</f>
        <v>0</v>
      </c>
      <c r="I48" s="351">
        <f>MAX(I41-MAX($B55-SUM($E41:H41),0),0)</f>
        <v>0</v>
      </c>
      <c r="J48" s="351">
        <f>MAX(J41-MAX($B55-SUM($E41:I41),0),0)</f>
        <v>0</v>
      </c>
      <c r="K48" s="351">
        <f>MAX(K41-MAX($B55-SUM($E41:J41),0),0)</f>
        <v>0</v>
      </c>
      <c r="L48" s="351">
        <f>MAX(L41-MAX($B55-SUM($E41:K41),0),0)</f>
        <v>0</v>
      </c>
      <c r="M48" s="351">
        <f>MAX(M41-MAX($B55-SUM($E41:L41),0),0)</f>
        <v>0</v>
      </c>
      <c r="N48" s="351">
        <f>MAX(N41-MAX($B55-SUM($E41:M41),0),0)</f>
        <v>0</v>
      </c>
      <c r="O48" s="351">
        <f>MAX(O41-MAX($B55-SUM($E41:N41),0),0)</f>
        <v>0</v>
      </c>
      <c r="P48" s="351">
        <f>MAX(P41-MAX($B55-SUM($E41:O41),0),0)</f>
        <v>0</v>
      </c>
      <c r="Q48" s="351">
        <f>MAX(Q41-MAX($B55-SUM($E41:P41),0),0)</f>
        <v>0</v>
      </c>
    </row>
    <row r="49" spans="1:17" ht="10.5">
      <c r="A49" s="228">
        <f ca="1">IF($B49&gt;0.99,SUM(Производство!$B18:OFFSET(Производство!$B18,0,MIN($B49,PRJ_DURATION)-1)),0)+IF($B49&lt;(PRJ_DURATION-1),$C49*OFFSET(Производство!$B18,0,$B49),0)</f>
        <v>0</v>
      </c>
      <c r="B49" s="228">
        <f>IF(B42=-1,INVENT_INT,INT(B42/30/PERIOD_LEN))</f>
        <v>0</v>
      </c>
      <c r="C49" s="228">
        <f>IF(B42=-1,INVENT_FRA,B42/30/PERIOD_LEN-B49)</f>
        <v>0</v>
      </c>
      <c r="D49" s="297"/>
      <c r="E49" s="351">
        <f>MAX(E42-MAX($B56,0),0)</f>
        <v>0</v>
      </c>
      <c r="F49" s="351">
        <f>MAX(F42-MAX($B56-SUM($E42:E42),0),0)</f>
        <v>0</v>
      </c>
      <c r="G49" s="351">
        <f>MAX(G42-MAX($B56-SUM($E42:F42),0),0)</f>
        <v>0</v>
      </c>
      <c r="H49" s="351">
        <f>MAX(H42-MAX($B56-SUM($E42:G42),0),0)</f>
        <v>0</v>
      </c>
      <c r="I49" s="351">
        <f>MAX(I42-MAX($B56-SUM($E42:H42),0),0)</f>
        <v>0</v>
      </c>
      <c r="J49" s="351">
        <f>MAX(J42-MAX($B56-SUM($E42:I42),0),0)</f>
        <v>0</v>
      </c>
      <c r="K49" s="351">
        <f>MAX(K42-MAX($B56-SUM($E42:J42),0),0)</f>
        <v>0</v>
      </c>
      <c r="L49" s="351">
        <f>MAX(L42-MAX($B56-SUM($E42:K42),0),0)</f>
        <v>0</v>
      </c>
      <c r="M49" s="351">
        <f>MAX(M42-MAX($B56-SUM($E42:L42),0),0)</f>
        <v>0</v>
      </c>
      <c r="N49" s="351">
        <f>MAX(N42-MAX($B56-SUM($E42:M42),0),0)</f>
        <v>0</v>
      </c>
      <c r="O49" s="351">
        <f>MAX(O42-MAX($B56-SUM($E42:N42),0),0)</f>
        <v>0</v>
      </c>
      <c r="P49" s="351">
        <f>MAX(P42-MAX($B56-SUM($E42:O42),0),0)</f>
        <v>0</v>
      </c>
      <c r="Q49" s="351">
        <f>MAX(Q42-MAX($B56-SUM($E42:P42),0),0)</f>
        <v>0</v>
      </c>
    </row>
    <row r="50" spans="1:17" ht="10.5">
      <c r="A50" s="228">
        <f ca="1">IF($B50&gt;0.99,SUM(Производство!$B19:OFFSET(Производство!$B19,0,MIN($B50,PRJ_DURATION)-1)),0)+IF($B50&lt;(PRJ_DURATION-1),$C50*OFFSET(Производство!$B19,0,$B50),0)</f>
        <v>0</v>
      </c>
      <c r="B50" s="228">
        <f>IF(B43=-1,INVENT_INT,INT(B43/30/PERIOD_LEN))</f>
        <v>0</v>
      </c>
      <c r="C50" s="228">
        <f>IF(B43=-1,INVENT_FRA,B43/30/PERIOD_LEN-B50)</f>
        <v>0</v>
      </c>
      <c r="D50" s="297"/>
      <c r="E50" s="351">
        <f>MAX(E43-MAX($B57,0),0)</f>
        <v>0</v>
      </c>
      <c r="F50" s="351">
        <f>MAX(F43-MAX($B57-SUM($E43:E43),0),0)</f>
        <v>0</v>
      </c>
      <c r="G50" s="351">
        <f>MAX(G43-MAX($B57-SUM($E43:F43),0),0)</f>
        <v>0</v>
      </c>
      <c r="H50" s="351">
        <f>MAX(H43-MAX($B57-SUM($E43:G43),0),0)</f>
        <v>0</v>
      </c>
      <c r="I50" s="351">
        <f>MAX(I43-MAX($B57-SUM($E43:H43),0),0)</f>
        <v>0</v>
      </c>
      <c r="J50" s="351">
        <f>MAX(J43-MAX($B57-SUM($E43:I43),0),0)</f>
        <v>0</v>
      </c>
      <c r="K50" s="351">
        <f>MAX(K43-MAX($B57-SUM($E43:J43),0),0)</f>
        <v>0</v>
      </c>
      <c r="L50" s="351">
        <f>MAX(L43-MAX($B57-SUM($E43:K43),0),0)</f>
        <v>0</v>
      </c>
      <c r="M50" s="351">
        <f>MAX(M43-MAX($B57-SUM($E43:L43),0),0)</f>
        <v>0</v>
      </c>
      <c r="N50" s="351">
        <f>MAX(N43-MAX($B57-SUM($E43:M43),0),0)</f>
        <v>0</v>
      </c>
      <c r="O50" s="351">
        <f>MAX(O43-MAX($B57-SUM($E43:N43),0),0)</f>
        <v>0</v>
      </c>
      <c r="P50" s="351">
        <f>MAX(P43-MAX($B57-SUM($E43:O43),0),0)</f>
        <v>0</v>
      </c>
      <c r="Q50" s="351">
        <f>MAX(Q43-MAX($B57-SUM($E43:P43),0),0)</f>
        <v>0</v>
      </c>
    </row>
    <row r="51" spans="1:17" s="228" customFormat="1" ht="10.5">
      <c r="A51" s="344" t="s">
        <v>95</v>
      </c>
      <c r="B51" s="344" t="s">
        <v>11</v>
      </c>
      <c r="D51" s="297" t="s">
        <v>180</v>
      </c>
      <c r="E51" s="350">
        <f ca="1">SUM(E46:OFFSET(E46,PRODUCTS_NUM-1,0))</f>
        <v>0</v>
      </c>
      <c r="F51" s="350">
        <f ca="1">SUM(F46:OFFSET(F46,PRODUCTS_NUM-1,0))</f>
        <v>0</v>
      </c>
      <c r="G51" s="350">
        <f ca="1">SUM(G46:OFFSET(G46,PRODUCTS_NUM-1,0))</f>
        <v>0</v>
      </c>
      <c r="H51" s="350">
        <f ca="1">SUM(H46:OFFSET(H46,PRODUCTS_NUM-1,0))</f>
        <v>0</v>
      </c>
      <c r="I51" s="350">
        <f ca="1">SUM(I46:OFFSET(I46,PRODUCTS_NUM-1,0))</f>
        <v>0</v>
      </c>
      <c r="J51" s="350">
        <f ca="1">SUM(J46:OFFSET(J46,PRODUCTS_NUM-1,0))</f>
        <v>0</v>
      </c>
      <c r="K51" s="350">
        <f ca="1">SUM(K46:OFFSET(K46,PRODUCTS_NUM-1,0))</f>
        <v>0</v>
      </c>
      <c r="L51" s="350">
        <f ca="1">SUM(L46:OFFSET(L46,PRODUCTS_NUM-1,0))</f>
        <v>0</v>
      </c>
      <c r="M51" s="350">
        <f ca="1">SUM(M46:OFFSET(M46,PRODUCTS_NUM-1,0))</f>
        <v>0</v>
      </c>
      <c r="N51" s="350">
        <f ca="1">SUM(N46:OFFSET(N46,PRODUCTS_NUM-1,0))</f>
        <v>0</v>
      </c>
      <c r="O51" s="350">
        <f ca="1">SUM(O46:OFFSET(O46,PRODUCTS_NUM-1,0))</f>
        <v>0</v>
      </c>
      <c r="P51" s="350">
        <f ca="1">SUM(P46:OFFSET(P46,PRODUCTS_NUM-1,0))</f>
        <v>0</v>
      </c>
      <c r="Q51" s="350">
        <f ca="1">SUM(Q46:OFFSET(Q46,PRODUCTS_NUM-1,0))</f>
        <v>0</v>
      </c>
    </row>
    <row r="52" spans="1:5" s="298" customFormat="1" ht="10.5">
      <c r="A52" s="298" t="s">
        <v>0</v>
      </c>
      <c r="D52" s="299"/>
      <c r="E52" s="298" t="s">
        <v>1</v>
      </c>
    </row>
    <row r="53" spans="1:17" ht="10.5">
      <c r="A53" s="350">
        <f>IF(A39&lt;0,VAT,A39)</f>
        <v>0</v>
      </c>
      <c r="B53" s="346">
        <f>Данные!B62*(1+A53)</f>
        <v>0</v>
      </c>
      <c r="C53" s="228"/>
      <c r="D53" s="297"/>
      <c r="E53" s="351">
        <f aca="true" ca="1" t="shared" si="9" ref="E53:Q53">IF($B60&lt;0.01,IF(COLUMN()-4-$A60&gt;0.99,OFFSET($E46,0,COLUMN()-4-$A60-1),0),IF(COLUMN()-4-$A60&gt;1.99,OFFSET($E46,0,COLUMN()-4-$A60-1-1)*$B60,0)+IF(COLUMN()-4-$A60&gt;0.99,OFFSET($E46,0,COLUMN()-4-$A60-1)*(1-$B60),0))</f>
        <v>0</v>
      </c>
      <c r="F53" s="351">
        <f ca="1" t="shared" si="9"/>
        <v>0</v>
      </c>
      <c r="G53" s="351">
        <f ca="1" t="shared" si="9"/>
        <v>0</v>
      </c>
      <c r="H53" s="351">
        <f ca="1" t="shared" si="9"/>
        <v>0</v>
      </c>
      <c r="I53" s="351">
        <f ca="1" t="shared" si="9"/>
        <v>0</v>
      </c>
      <c r="J53" s="351">
        <f ca="1" t="shared" si="9"/>
        <v>0</v>
      </c>
      <c r="K53" s="351">
        <f ca="1" t="shared" si="9"/>
        <v>0</v>
      </c>
      <c r="L53" s="351">
        <f ca="1" t="shared" si="9"/>
        <v>0</v>
      </c>
      <c r="M53" s="351">
        <f ca="1" t="shared" si="9"/>
        <v>0</v>
      </c>
      <c r="N53" s="351">
        <f ca="1" t="shared" si="9"/>
        <v>0</v>
      </c>
      <c r="O53" s="351">
        <f ca="1" t="shared" si="9"/>
        <v>0</v>
      </c>
      <c r="P53" s="351">
        <f ca="1" t="shared" si="9"/>
        <v>0</v>
      </c>
      <c r="Q53" s="351">
        <f ca="1" t="shared" si="9"/>
        <v>0</v>
      </c>
    </row>
    <row r="54" spans="1:17" ht="10.5">
      <c r="A54" s="350">
        <f>IF(A40&lt;0,VAT,A40)</f>
        <v>0</v>
      </c>
      <c r="B54" s="346">
        <f>Данные!B63*(1+A54)</f>
        <v>0</v>
      </c>
      <c r="C54" s="228"/>
      <c r="D54" s="297"/>
      <c r="E54" s="351">
        <f aca="true" ca="1" t="shared" si="10" ref="E54:Q54">IF($B61&lt;0.01,IF(COLUMN()-4-$A61&gt;0.99,OFFSET($E47,0,COLUMN()-4-$A61-1),0),IF(COLUMN()-4-$A61&gt;1.99,OFFSET($E47,0,COLUMN()-4-$A61-1-1)*$B61,0)+IF(COLUMN()-4-$A61&gt;0.99,OFFSET($E47,0,COLUMN()-4-$A61-1)*(1-$B61),0))</f>
        <v>0</v>
      </c>
      <c r="F54" s="351">
        <f ca="1" t="shared" si="10"/>
        <v>0</v>
      </c>
      <c r="G54" s="351">
        <f ca="1" t="shared" si="10"/>
        <v>0</v>
      </c>
      <c r="H54" s="351">
        <f ca="1" t="shared" si="10"/>
        <v>0</v>
      </c>
      <c r="I54" s="351">
        <f ca="1" t="shared" si="10"/>
        <v>0</v>
      </c>
      <c r="J54" s="351">
        <f ca="1" t="shared" si="10"/>
        <v>0</v>
      </c>
      <c r="K54" s="351">
        <f ca="1" t="shared" si="10"/>
        <v>0</v>
      </c>
      <c r="L54" s="351">
        <f ca="1" t="shared" si="10"/>
        <v>0</v>
      </c>
      <c r="M54" s="351">
        <f ca="1" t="shared" si="10"/>
        <v>0</v>
      </c>
      <c r="N54" s="351">
        <f ca="1" t="shared" si="10"/>
        <v>0</v>
      </c>
      <c r="O54" s="351">
        <f ca="1" t="shared" si="10"/>
        <v>0</v>
      </c>
      <c r="P54" s="351">
        <f ca="1" t="shared" si="10"/>
        <v>0</v>
      </c>
      <c r="Q54" s="351">
        <f ca="1" t="shared" si="10"/>
        <v>0</v>
      </c>
    </row>
    <row r="55" spans="1:17" ht="10.5">
      <c r="A55" s="350">
        <f>IF(A41&lt;0,VAT,A41)</f>
        <v>0</v>
      </c>
      <c r="B55" s="346">
        <f>Данные!B64*(1+A55)</f>
        <v>0</v>
      </c>
      <c r="C55" s="228"/>
      <c r="D55" s="297"/>
      <c r="E55" s="351">
        <f aca="true" ca="1" t="shared" si="11" ref="E55:Q55">IF($B62&lt;0.01,IF(COLUMN()-4-$A62&gt;0.99,OFFSET($E48,0,COLUMN()-4-$A62-1),0),IF(COLUMN()-4-$A62&gt;1.99,OFFSET($E48,0,COLUMN()-4-$A62-1-1)*$B62,0)+IF(COLUMN()-4-$A62&gt;0.99,OFFSET($E48,0,COLUMN()-4-$A62-1)*(1-$B62),0))</f>
        <v>0</v>
      </c>
      <c r="F55" s="351">
        <f ca="1" t="shared" si="11"/>
        <v>0</v>
      </c>
      <c r="G55" s="351">
        <f ca="1" t="shared" si="11"/>
        <v>0</v>
      </c>
      <c r="H55" s="351">
        <f ca="1" t="shared" si="11"/>
        <v>0</v>
      </c>
      <c r="I55" s="351">
        <f ca="1" t="shared" si="11"/>
        <v>0</v>
      </c>
      <c r="J55" s="351">
        <f ca="1" t="shared" si="11"/>
        <v>0</v>
      </c>
      <c r="K55" s="351">
        <f ca="1" t="shared" si="11"/>
        <v>0</v>
      </c>
      <c r="L55" s="351">
        <f ca="1" t="shared" si="11"/>
        <v>0</v>
      </c>
      <c r="M55" s="351">
        <f ca="1" t="shared" si="11"/>
        <v>0</v>
      </c>
      <c r="N55" s="351">
        <f ca="1" t="shared" si="11"/>
        <v>0</v>
      </c>
      <c r="O55" s="351">
        <f ca="1" t="shared" si="11"/>
        <v>0</v>
      </c>
      <c r="P55" s="351">
        <f ca="1" t="shared" si="11"/>
        <v>0</v>
      </c>
      <c r="Q55" s="351">
        <f ca="1" t="shared" si="11"/>
        <v>0</v>
      </c>
    </row>
    <row r="56" spans="1:17" ht="10.5">
      <c r="A56" s="350">
        <f>IF(A42&lt;0,VAT,A42)</f>
        <v>0</v>
      </c>
      <c r="B56" s="346">
        <f>Данные!B65*(1+A56)</f>
        <v>0</v>
      </c>
      <c r="C56" s="228"/>
      <c r="D56" s="297"/>
      <c r="E56" s="351">
        <f aca="true" ca="1" t="shared" si="12" ref="E56:Q56">IF($B63&lt;0.01,IF(COLUMN()-4-$A63&gt;0.99,OFFSET($E49,0,COLUMN()-4-$A63-1),0),IF(COLUMN()-4-$A63&gt;1.99,OFFSET($E49,0,COLUMN()-4-$A63-1-1)*$B63,0)+IF(COLUMN()-4-$A63&gt;0.99,OFFSET($E49,0,COLUMN()-4-$A63-1)*(1-$B63),0))</f>
        <v>0</v>
      </c>
      <c r="F56" s="351">
        <f ca="1" t="shared" si="12"/>
        <v>0</v>
      </c>
      <c r="G56" s="351">
        <f ca="1" t="shared" si="12"/>
        <v>0</v>
      </c>
      <c r="H56" s="351">
        <f ca="1" t="shared" si="12"/>
        <v>0</v>
      </c>
      <c r="I56" s="351">
        <f ca="1" t="shared" si="12"/>
        <v>0</v>
      </c>
      <c r="J56" s="351">
        <f ca="1" t="shared" si="12"/>
        <v>0</v>
      </c>
      <c r="K56" s="351">
        <f ca="1" t="shared" si="12"/>
        <v>0</v>
      </c>
      <c r="L56" s="351">
        <f ca="1" t="shared" si="12"/>
        <v>0</v>
      </c>
      <c r="M56" s="351">
        <f ca="1" t="shared" si="12"/>
        <v>0</v>
      </c>
      <c r="N56" s="351">
        <f ca="1" t="shared" si="12"/>
        <v>0</v>
      </c>
      <c r="O56" s="351">
        <f ca="1" t="shared" si="12"/>
        <v>0</v>
      </c>
      <c r="P56" s="351">
        <f ca="1" t="shared" si="12"/>
        <v>0</v>
      </c>
      <c r="Q56" s="351">
        <f ca="1" t="shared" si="12"/>
        <v>0</v>
      </c>
    </row>
    <row r="57" spans="1:17" ht="10.5">
      <c r="A57" s="350">
        <f>IF(A43&lt;0,VAT,A43)</f>
        <v>0</v>
      </c>
      <c r="B57" s="346">
        <f>Данные!B66*(1+A57)</f>
        <v>0</v>
      </c>
      <c r="C57" s="228"/>
      <c r="D57" s="297"/>
      <c r="E57" s="351">
        <f aca="true" ca="1" t="shared" si="13" ref="E57:Q57">IF($B64&lt;0.01,IF(COLUMN()-4-$A64&gt;0.99,OFFSET($E50,0,COLUMN()-4-$A64-1),0),IF(COLUMN()-4-$A64&gt;1.99,OFFSET($E50,0,COLUMN()-4-$A64-1-1)*$B64,0)+IF(COLUMN()-4-$A64&gt;0.99,OFFSET($E50,0,COLUMN()-4-$A64-1)*(1-$B64),0))</f>
        <v>0</v>
      </c>
      <c r="F57" s="351">
        <f ca="1" t="shared" si="13"/>
        <v>0</v>
      </c>
      <c r="G57" s="351">
        <f ca="1" t="shared" si="13"/>
        <v>0</v>
      </c>
      <c r="H57" s="351">
        <f ca="1" t="shared" si="13"/>
        <v>0</v>
      </c>
      <c r="I57" s="351">
        <f ca="1" t="shared" si="13"/>
        <v>0</v>
      </c>
      <c r="J57" s="351">
        <f ca="1" t="shared" si="13"/>
        <v>0</v>
      </c>
      <c r="K57" s="351">
        <f ca="1" t="shared" si="13"/>
        <v>0</v>
      </c>
      <c r="L57" s="351">
        <f ca="1" t="shared" si="13"/>
        <v>0</v>
      </c>
      <c r="M57" s="351">
        <f ca="1" t="shared" si="13"/>
        <v>0</v>
      </c>
      <c r="N57" s="351">
        <f ca="1" t="shared" si="13"/>
        <v>0</v>
      </c>
      <c r="O57" s="351">
        <f ca="1" t="shared" si="13"/>
        <v>0</v>
      </c>
      <c r="P57" s="351">
        <f ca="1" t="shared" si="13"/>
        <v>0</v>
      </c>
      <c r="Q57" s="351">
        <f ca="1" t="shared" si="13"/>
        <v>0</v>
      </c>
    </row>
    <row r="58" spans="1:17" s="228" customFormat="1" ht="10.5">
      <c r="A58" s="344" t="s">
        <v>12</v>
      </c>
      <c r="B58" s="344" t="s">
        <v>13</v>
      </c>
      <c r="D58" s="297" t="s">
        <v>180</v>
      </c>
      <c r="E58" s="350">
        <f ca="1">SUM(E53:OFFSET(E53,PRODUCTS_NUM-1,0))</f>
        <v>0</v>
      </c>
      <c r="F58" s="350">
        <f ca="1">SUM(F53:OFFSET(F53,PRODUCTS_NUM-1,0))</f>
        <v>0</v>
      </c>
      <c r="G58" s="350">
        <f ca="1">SUM(G53:OFFSET(G53,PRODUCTS_NUM-1,0))</f>
        <v>0</v>
      </c>
      <c r="H58" s="350">
        <f ca="1">SUM(H53:OFFSET(H53,PRODUCTS_NUM-1,0))</f>
        <v>0</v>
      </c>
      <c r="I58" s="350">
        <f ca="1">SUM(I53:OFFSET(I53,PRODUCTS_NUM-1,0))</f>
        <v>0</v>
      </c>
      <c r="J58" s="350">
        <f ca="1">SUM(J53:OFFSET(J53,PRODUCTS_NUM-1,0))</f>
        <v>0</v>
      </c>
      <c r="K58" s="350">
        <f ca="1">SUM(K53:OFFSET(K53,PRODUCTS_NUM-1,0))</f>
        <v>0</v>
      </c>
      <c r="L58" s="350">
        <f ca="1">SUM(L53:OFFSET(L53,PRODUCTS_NUM-1,0))</f>
        <v>0</v>
      </c>
      <c r="M58" s="350">
        <f ca="1">SUM(M53:OFFSET(M53,PRODUCTS_NUM-1,0))</f>
        <v>0</v>
      </c>
      <c r="N58" s="350">
        <f ca="1">SUM(N53:OFFSET(N53,PRODUCTS_NUM-1,0))</f>
        <v>0</v>
      </c>
      <c r="O58" s="350">
        <f ca="1">SUM(O53:OFFSET(O53,PRODUCTS_NUM-1,0))</f>
        <v>0</v>
      </c>
      <c r="P58" s="350">
        <f ca="1">SUM(P53:OFFSET(P53,PRODUCTS_NUM-1,0))</f>
        <v>0</v>
      </c>
      <c r="Q58" s="350">
        <f ca="1">SUM(Q53:OFFSET(Q53,PRODUCTS_NUM-1,0))</f>
        <v>0</v>
      </c>
    </row>
    <row r="59" spans="1:5" s="298" customFormat="1" ht="10.5">
      <c r="A59" s="298" t="s">
        <v>0</v>
      </c>
      <c r="D59" s="299"/>
      <c r="E59" s="298" t="s">
        <v>2</v>
      </c>
    </row>
    <row r="60" spans="1:17" ht="10.5">
      <c r="A60" s="228">
        <f>IF(C39=-1,CREDIT_INT,INT(C39/30/PERIOD_LEN))</f>
        <v>3</v>
      </c>
      <c r="B60" s="228">
        <f>IF(C39=-1,CREDIT_FRA,C39/30/PERIOD_LEN-A60)</f>
        <v>0</v>
      </c>
      <c r="C60" s="228"/>
      <c r="D60" s="297"/>
      <c r="E60" s="351">
        <f aca="true" t="shared" si="14" ref="E60:J62">E53*$A53/(1+$A53)</f>
        <v>0</v>
      </c>
      <c r="F60" s="351">
        <f t="shared" si="14"/>
        <v>0</v>
      </c>
      <c r="G60" s="351">
        <f t="shared" si="14"/>
        <v>0</v>
      </c>
      <c r="H60" s="351">
        <f t="shared" si="14"/>
        <v>0</v>
      </c>
      <c r="I60" s="351">
        <f t="shared" si="14"/>
        <v>0</v>
      </c>
      <c r="J60" s="351">
        <f t="shared" si="14"/>
        <v>0</v>
      </c>
      <c r="K60" s="351">
        <f aca="true" t="shared" si="15" ref="K60:Q60">K53*$A53/(1+$A53)</f>
        <v>0</v>
      </c>
      <c r="L60" s="351">
        <f t="shared" si="15"/>
        <v>0</v>
      </c>
      <c r="M60" s="351">
        <f t="shared" si="15"/>
        <v>0</v>
      </c>
      <c r="N60" s="351">
        <f t="shared" si="15"/>
        <v>0</v>
      </c>
      <c r="O60" s="351">
        <f t="shared" si="15"/>
        <v>0</v>
      </c>
      <c r="P60" s="351">
        <f t="shared" si="15"/>
        <v>0</v>
      </c>
      <c r="Q60" s="351">
        <f t="shared" si="15"/>
        <v>0</v>
      </c>
    </row>
    <row r="61" spans="1:17" ht="10.5">
      <c r="A61" s="228">
        <f>IF(C40=-1,CREDIT_INT,INT(C40/30/PERIOD_LEN))</f>
        <v>0</v>
      </c>
      <c r="B61" s="228">
        <f>IF(C40=-1,CREDIT_FRA,C40/30/PERIOD_LEN-A61)</f>
        <v>0</v>
      </c>
      <c r="C61" s="228"/>
      <c r="D61" s="297"/>
      <c r="E61" s="351">
        <f t="shared" si="14"/>
        <v>0</v>
      </c>
      <c r="F61" s="351">
        <f t="shared" si="14"/>
        <v>0</v>
      </c>
      <c r="G61" s="351">
        <f t="shared" si="14"/>
        <v>0</v>
      </c>
      <c r="H61" s="351">
        <f t="shared" si="14"/>
        <v>0</v>
      </c>
      <c r="I61" s="351">
        <f t="shared" si="14"/>
        <v>0</v>
      </c>
      <c r="J61" s="351">
        <f t="shared" si="14"/>
        <v>0</v>
      </c>
      <c r="K61" s="351">
        <f aca="true" t="shared" si="16" ref="K61:Q61">K54*$A54/(1+$A54)</f>
        <v>0</v>
      </c>
      <c r="L61" s="351">
        <f t="shared" si="16"/>
        <v>0</v>
      </c>
      <c r="M61" s="351">
        <f t="shared" si="16"/>
        <v>0</v>
      </c>
      <c r="N61" s="351">
        <f t="shared" si="16"/>
        <v>0</v>
      </c>
      <c r="O61" s="351">
        <f t="shared" si="16"/>
        <v>0</v>
      </c>
      <c r="P61" s="351">
        <f t="shared" si="16"/>
        <v>0</v>
      </c>
      <c r="Q61" s="351">
        <f t="shared" si="16"/>
        <v>0</v>
      </c>
    </row>
    <row r="62" spans="1:17" ht="10.5">
      <c r="A62" s="228">
        <f>IF(C41=-1,CREDIT_INT,INT(C41/30/PERIOD_LEN))</f>
        <v>0</v>
      </c>
      <c r="B62" s="228">
        <f>IF(C41=-1,CREDIT_FRA,C41/30/PERIOD_LEN-A62)</f>
        <v>0</v>
      </c>
      <c r="C62" s="228"/>
      <c r="D62" s="297"/>
      <c r="E62" s="351">
        <f t="shared" si="14"/>
        <v>0</v>
      </c>
      <c r="F62" s="351">
        <f t="shared" si="14"/>
        <v>0</v>
      </c>
      <c r="G62" s="351">
        <f t="shared" si="14"/>
        <v>0</v>
      </c>
      <c r="H62" s="351">
        <f t="shared" si="14"/>
        <v>0</v>
      </c>
      <c r="I62" s="351">
        <f t="shared" si="14"/>
        <v>0</v>
      </c>
      <c r="J62" s="351">
        <f t="shared" si="14"/>
        <v>0</v>
      </c>
      <c r="K62" s="351">
        <f aca="true" t="shared" si="17" ref="K62:Q62">K55*$A55/(1+$A55)</f>
        <v>0</v>
      </c>
      <c r="L62" s="351">
        <f t="shared" si="17"/>
        <v>0</v>
      </c>
      <c r="M62" s="351">
        <f t="shared" si="17"/>
        <v>0</v>
      </c>
      <c r="N62" s="351">
        <f t="shared" si="17"/>
        <v>0</v>
      </c>
      <c r="O62" s="351">
        <f t="shared" si="17"/>
        <v>0</v>
      </c>
      <c r="P62" s="351">
        <f t="shared" si="17"/>
        <v>0</v>
      </c>
      <c r="Q62" s="351">
        <f t="shared" si="17"/>
        <v>0</v>
      </c>
    </row>
    <row r="63" spans="1:17" ht="10.5">
      <c r="A63" s="228">
        <f>IF(C42=-1,CREDIT_INT,INT(C42/30/PERIOD_LEN))</f>
        <v>0</v>
      </c>
      <c r="B63" s="228">
        <f>IF(C42=-1,CREDIT_FRA,C42/30/PERIOD_LEN-A63)</f>
        <v>0</v>
      </c>
      <c r="C63" s="228"/>
      <c r="D63" s="297"/>
      <c r="E63" s="351">
        <f aca="true" t="shared" si="18" ref="E63:Q63">E56*$A56/(1+$A56)</f>
        <v>0</v>
      </c>
      <c r="F63" s="351">
        <f t="shared" si="18"/>
        <v>0</v>
      </c>
      <c r="G63" s="351">
        <f t="shared" si="18"/>
        <v>0</v>
      </c>
      <c r="H63" s="351">
        <f t="shared" si="18"/>
        <v>0</v>
      </c>
      <c r="I63" s="351">
        <f t="shared" si="18"/>
        <v>0</v>
      </c>
      <c r="J63" s="351">
        <f t="shared" si="18"/>
        <v>0</v>
      </c>
      <c r="K63" s="351">
        <f t="shared" si="18"/>
        <v>0</v>
      </c>
      <c r="L63" s="351">
        <f t="shared" si="18"/>
        <v>0</v>
      </c>
      <c r="M63" s="351">
        <f t="shared" si="18"/>
        <v>0</v>
      </c>
      <c r="N63" s="351">
        <f t="shared" si="18"/>
        <v>0</v>
      </c>
      <c r="O63" s="351">
        <f t="shared" si="18"/>
        <v>0</v>
      </c>
      <c r="P63" s="351">
        <f t="shared" si="18"/>
        <v>0</v>
      </c>
      <c r="Q63" s="351">
        <f t="shared" si="18"/>
        <v>0</v>
      </c>
    </row>
    <row r="64" spans="1:17" ht="10.5">
      <c r="A64" s="228">
        <f>IF(C43=-1,CREDIT_INT,INT(C43/30/PERIOD_LEN))</f>
        <v>0</v>
      </c>
      <c r="B64" s="228">
        <f>IF(C43=-1,CREDIT_FRA,C43/30/PERIOD_LEN-A64)</f>
        <v>0</v>
      </c>
      <c r="C64" s="228"/>
      <c r="D64" s="297"/>
      <c r="E64" s="351">
        <f aca="true" t="shared" si="19" ref="E64:Q64">E57*$A57/(1+$A57)</f>
        <v>0</v>
      </c>
      <c r="F64" s="351">
        <f t="shared" si="19"/>
        <v>0</v>
      </c>
      <c r="G64" s="351">
        <f t="shared" si="19"/>
        <v>0</v>
      </c>
      <c r="H64" s="351">
        <f t="shared" si="19"/>
        <v>0</v>
      </c>
      <c r="I64" s="351">
        <f t="shared" si="19"/>
        <v>0</v>
      </c>
      <c r="J64" s="351">
        <f t="shared" si="19"/>
        <v>0</v>
      </c>
      <c r="K64" s="351">
        <f t="shared" si="19"/>
        <v>0</v>
      </c>
      <c r="L64" s="351">
        <f t="shared" si="19"/>
        <v>0</v>
      </c>
      <c r="M64" s="351">
        <f t="shared" si="19"/>
        <v>0</v>
      </c>
      <c r="N64" s="351">
        <f t="shared" si="19"/>
        <v>0</v>
      </c>
      <c r="O64" s="351">
        <f t="shared" si="19"/>
        <v>0</v>
      </c>
      <c r="P64" s="351">
        <f t="shared" si="19"/>
        <v>0</v>
      </c>
      <c r="Q64" s="351">
        <f t="shared" si="19"/>
        <v>0</v>
      </c>
    </row>
    <row r="65" spans="4:17" s="228" customFormat="1" ht="10.5">
      <c r="D65" s="297" t="s">
        <v>180</v>
      </c>
      <c r="E65" s="350">
        <f ca="1">SUM(E60:OFFSET(E60,PRODUCTS_NUM-1,0))</f>
        <v>0</v>
      </c>
      <c r="F65" s="350">
        <f ca="1">SUM(F60:OFFSET(F60,PRODUCTS_NUM-1,0))</f>
        <v>0</v>
      </c>
      <c r="G65" s="350">
        <f ca="1">SUM(G60:OFFSET(G60,PRODUCTS_NUM-1,0))</f>
        <v>0</v>
      </c>
      <c r="H65" s="350">
        <f ca="1">SUM(H60:OFFSET(H60,PRODUCTS_NUM-1,0))</f>
        <v>0</v>
      </c>
      <c r="I65" s="350">
        <f ca="1">SUM(I60:OFFSET(I60,PRODUCTS_NUM-1,0))</f>
        <v>0</v>
      </c>
      <c r="J65" s="350">
        <f ca="1">SUM(J60:OFFSET(J60,PRODUCTS_NUM-1,0))</f>
        <v>0</v>
      </c>
      <c r="K65" s="350">
        <f ca="1">SUM(K60:OFFSET(K60,PRODUCTS_NUM-1,0))</f>
        <v>0</v>
      </c>
      <c r="L65" s="350">
        <f ca="1">SUM(L60:OFFSET(L60,PRODUCTS_NUM-1,0))</f>
        <v>0</v>
      </c>
      <c r="M65" s="350">
        <f ca="1">SUM(M60:OFFSET(M60,PRODUCTS_NUM-1,0))</f>
        <v>0</v>
      </c>
      <c r="N65" s="350">
        <f ca="1">SUM(N60:OFFSET(N60,PRODUCTS_NUM-1,0))</f>
        <v>0</v>
      </c>
      <c r="O65" s="350">
        <f ca="1">SUM(O60:OFFSET(O60,PRODUCTS_NUM-1,0))</f>
        <v>0</v>
      </c>
      <c r="P65" s="350">
        <f ca="1">SUM(P60:OFFSET(P60,PRODUCTS_NUM-1,0))</f>
        <v>0</v>
      </c>
      <c r="Q65" s="350">
        <f ca="1">SUM(Q60:OFFSET(Q60,PRODUCTS_NUM-1,0))</f>
        <v>0</v>
      </c>
    </row>
    <row r="66" spans="1:5" s="298" customFormat="1" ht="10.5">
      <c r="A66" s="298" t="s">
        <v>0</v>
      </c>
      <c r="D66" s="299"/>
      <c r="E66" s="298" t="s">
        <v>367</v>
      </c>
    </row>
    <row r="67" spans="1:17" ht="10.5">
      <c r="A67" s="228"/>
      <c r="B67" s="228"/>
      <c r="C67" s="228"/>
      <c r="D67" s="297"/>
      <c r="E67" s="351">
        <f aca="true" t="shared" si="20" ref="E67:Q67">E46/(1+$A53)</f>
        <v>0</v>
      </c>
      <c r="F67" s="351">
        <f t="shared" si="20"/>
        <v>0</v>
      </c>
      <c r="G67" s="351">
        <f t="shared" si="20"/>
        <v>0</v>
      </c>
      <c r="H67" s="351">
        <f t="shared" si="20"/>
        <v>0</v>
      </c>
      <c r="I67" s="351">
        <f t="shared" si="20"/>
        <v>0</v>
      </c>
      <c r="J67" s="351">
        <f t="shared" si="20"/>
        <v>0</v>
      </c>
      <c r="K67" s="351">
        <f t="shared" si="20"/>
        <v>0</v>
      </c>
      <c r="L67" s="351">
        <f t="shared" si="20"/>
        <v>0</v>
      </c>
      <c r="M67" s="351">
        <f t="shared" si="20"/>
        <v>0</v>
      </c>
      <c r="N67" s="351">
        <f t="shared" si="20"/>
        <v>0</v>
      </c>
      <c r="O67" s="351">
        <f t="shared" si="20"/>
        <v>0</v>
      </c>
      <c r="P67" s="351">
        <f t="shared" si="20"/>
        <v>0</v>
      </c>
      <c r="Q67" s="351">
        <f t="shared" si="20"/>
        <v>0</v>
      </c>
    </row>
    <row r="68" spans="1:17" ht="10.5">
      <c r="A68" s="228"/>
      <c r="B68" s="228"/>
      <c r="C68" s="228"/>
      <c r="D68" s="297"/>
      <c r="E68" s="351">
        <f aca="true" t="shared" si="21" ref="E68:Q68">E47/(1+$A54)</f>
        <v>0</v>
      </c>
      <c r="F68" s="351">
        <f t="shared" si="21"/>
        <v>0</v>
      </c>
      <c r="G68" s="351">
        <f t="shared" si="21"/>
        <v>0</v>
      </c>
      <c r="H68" s="351">
        <f t="shared" si="21"/>
        <v>0</v>
      </c>
      <c r="I68" s="351">
        <f t="shared" si="21"/>
        <v>0</v>
      </c>
      <c r="J68" s="351">
        <f t="shared" si="21"/>
        <v>0</v>
      </c>
      <c r="K68" s="351">
        <f t="shared" si="21"/>
        <v>0</v>
      </c>
      <c r="L68" s="351">
        <f t="shared" si="21"/>
        <v>0</v>
      </c>
      <c r="M68" s="351">
        <f t="shared" si="21"/>
        <v>0</v>
      </c>
      <c r="N68" s="351">
        <f t="shared" si="21"/>
        <v>0</v>
      </c>
      <c r="O68" s="351">
        <f t="shared" si="21"/>
        <v>0</v>
      </c>
      <c r="P68" s="351">
        <f t="shared" si="21"/>
        <v>0</v>
      </c>
      <c r="Q68" s="351">
        <f t="shared" si="21"/>
        <v>0</v>
      </c>
    </row>
    <row r="69" spans="1:17" ht="10.5">
      <c r="A69" s="228"/>
      <c r="B69" s="228"/>
      <c r="C69" s="228"/>
      <c r="D69" s="297"/>
      <c r="E69" s="351">
        <f aca="true" t="shared" si="22" ref="E69:Q69">E48/(1+$A55)</f>
        <v>0</v>
      </c>
      <c r="F69" s="351">
        <f t="shared" si="22"/>
        <v>0</v>
      </c>
      <c r="G69" s="351">
        <f t="shared" si="22"/>
        <v>0</v>
      </c>
      <c r="H69" s="351">
        <f t="shared" si="22"/>
        <v>0</v>
      </c>
      <c r="I69" s="351">
        <f t="shared" si="22"/>
        <v>0</v>
      </c>
      <c r="J69" s="351">
        <f t="shared" si="22"/>
        <v>0</v>
      </c>
      <c r="K69" s="351">
        <f t="shared" si="22"/>
        <v>0</v>
      </c>
      <c r="L69" s="351">
        <f t="shared" si="22"/>
        <v>0</v>
      </c>
      <c r="M69" s="351">
        <f t="shared" si="22"/>
        <v>0</v>
      </c>
      <c r="N69" s="351">
        <f t="shared" si="22"/>
        <v>0</v>
      </c>
      <c r="O69" s="351">
        <f t="shared" si="22"/>
        <v>0</v>
      </c>
      <c r="P69" s="351">
        <f t="shared" si="22"/>
        <v>0</v>
      </c>
      <c r="Q69" s="351">
        <f t="shared" si="22"/>
        <v>0</v>
      </c>
    </row>
    <row r="70" spans="1:17" ht="10.5">
      <c r="A70" s="228"/>
      <c r="B70" s="228"/>
      <c r="C70" s="228"/>
      <c r="D70" s="297"/>
      <c r="E70" s="351">
        <f aca="true" t="shared" si="23" ref="E70:Q70">E49/(1+$A56)</f>
        <v>0</v>
      </c>
      <c r="F70" s="351">
        <f t="shared" si="23"/>
        <v>0</v>
      </c>
      <c r="G70" s="351">
        <f t="shared" si="23"/>
        <v>0</v>
      </c>
      <c r="H70" s="351">
        <f t="shared" si="23"/>
        <v>0</v>
      </c>
      <c r="I70" s="351">
        <f t="shared" si="23"/>
        <v>0</v>
      </c>
      <c r="J70" s="351">
        <f t="shared" si="23"/>
        <v>0</v>
      </c>
      <c r="K70" s="351">
        <f t="shared" si="23"/>
        <v>0</v>
      </c>
      <c r="L70" s="351">
        <f t="shared" si="23"/>
        <v>0</v>
      </c>
      <c r="M70" s="351">
        <f t="shared" si="23"/>
        <v>0</v>
      </c>
      <c r="N70" s="351">
        <f t="shared" si="23"/>
        <v>0</v>
      </c>
      <c r="O70" s="351">
        <f t="shared" si="23"/>
        <v>0</v>
      </c>
      <c r="P70" s="351">
        <f t="shared" si="23"/>
        <v>0</v>
      </c>
      <c r="Q70" s="351">
        <f t="shared" si="23"/>
        <v>0</v>
      </c>
    </row>
    <row r="71" spans="1:17" ht="10.5">
      <c r="A71" s="228"/>
      <c r="B71" s="228"/>
      <c r="C71" s="228"/>
      <c r="D71" s="297"/>
      <c r="E71" s="351">
        <f aca="true" t="shared" si="24" ref="E71:Q71">E50/(1+$A57)</f>
        <v>0</v>
      </c>
      <c r="F71" s="351">
        <f t="shared" si="24"/>
        <v>0</v>
      </c>
      <c r="G71" s="351">
        <f t="shared" si="24"/>
        <v>0</v>
      </c>
      <c r="H71" s="351">
        <f t="shared" si="24"/>
        <v>0</v>
      </c>
      <c r="I71" s="351">
        <f t="shared" si="24"/>
        <v>0</v>
      </c>
      <c r="J71" s="351">
        <f t="shared" si="24"/>
        <v>0</v>
      </c>
      <c r="K71" s="351">
        <f t="shared" si="24"/>
        <v>0</v>
      </c>
      <c r="L71" s="351">
        <f t="shared" si="24"/>
        <v>0</v>
      </c>
      <c r="M71" s="351">
        <f t="shared" si="24"/>
        <v>0</v>
      </c>
      <c r="N71" s="351">
        <f t="shared" si="24"/>
        <v>0</v>
      </c>
      <c r="O71" s="351">
        <f t="shared" si="24"/>
        <v>0</v>
      </c>
      <c r="P71" s="351">
        <f t="shared" si="24"/>
        <v>0</v>
      </c>
      <c r="Q71" s="351">
        <f t="shared" si="24"/>
        <v>0</v>
      </c>
    </row>
    <row r="72" spans="4:17" s="228" customFormat="1" ht="10.5">
      <c r="D72" s="297" t="s">
        <v>180</v>
      </c>
      <c r="E72" s="350">
        <f ca="1">SUM(E67:OFFSET(E67,PRODUCTS_NUM-1,0))</f>
        <v>0</v>
      </c>
      <c r="F72" s="350">
        <f ca="1">SUM(F67:OFFSET(F67,PRODUCTS_NUM-1,0))</f>
        <v>0</v>
      </c>
      <c r="G72" s="350">
        <f ca="1">SUM(G67:OFFSET(G67,PRODUCTS_NUM-1,0))</f>
        <v>0</v>
      </c>
      <c r="H72" s="350">
        <f ca="1">SUM(H67:OFFSET(H67,PRODUCTS_NUM-1,0))</f>
        <v>0</v>
      </c>
      <c r="I72" s="350">
        <f ca="1">SUM(I67:OFFSET(I67,PRODUCTS_NUM-1,0))</f>
        <v>0</v>
      </c>
      <c r="J72" s="350">
        <f ca="1">SUM(J67:OFFSET(J67,PRODUCTS_NUM-1,0))</f>
        <v>0</v>
      </c>
      <c r="K72" s="350">
        <f ca="1">SUM(K67:OFFSET(K67,PRODUCTS_NUM-1,0))</f>
        <v>0</v>
      </c>
      <c r="L72" s="350">
        <f ca="1">SUM(L67:OFFSET(L67,PRODUCTS_NUM-1,0))</f>
        <v>0</v>
      </c>
      <c r="M72" s="350">
        <f ca="1">SUM(M67:OFFSET(M67,PRODUCTS_NUM-1,0))</f>
        <v>0</v>
      </c>
      <c r="N72" s="350">
        <f ca="1">SUM(N67:OFFSET(N67,PRODUCTS_NUM-1,0))</f>
        <v>0</v>
      </c>
      <c r="O72" s="350">
        <f ca="1">SUM(O67:OFFSET(O67,PRODUCTS_NUM-1,0))</f>
        <v>0</v>
      </c>
      <c r="P72" s="350">
        <f ca="1">SUM(P67:OFFSET(P67,PRODUCTS_NUM-1,0))</f>
        <v>0</v>
      </c>
      <c r="Q72" s="350">
        <f ca="1">SUM(Q67:OFFSET(Q67,PRODUCTS_NUM-1,0))</f>
        <v>0</v>
      </c>
    </row>
    <row r="73" spans="1:5" s="298" customFormat="1" ht="10.5">
      <c r="A73" s="298" t="s">
        <v>0</v>
      </c>
      <c r="D73" s="299"/>
      <c r="E73" s="298" t="s">
        <v>368</v>
      </c>
    </row>
    <row r="74" spans="1:17" ht="10.5">
      <c r="A74" s="228"/>
      <c r="B74" s="228"/>
      <c r="C74" s="228"/>
      <c r="D74" s="297"/>
      <c r="E74" s="351">
        <f>Производство!B42/(1+$A53)</f>
        <v>0</v>
      </c>
      <c r="F74" s="351">
        <f>Производство!C42/(1+$A53)</f>
        <v>0</v>
      </c>
      <c r="G74" s="351">
        <f>Производство!D42/(1+$A53)</f>
        <v>0</v>
      </c>
      <c r="H74" s="351">
        <f>Производство!E42/(1+$A53)</f>
        <v>0</v>
      </c>
      <c r="I74" s="351">
        <f>Производство!F42/(1+$A53)</f>
        <v>0</v>
      </c>
      <c r="J74" s="351">
        <f>Производство!G42/(1+$A53)</f>
        <v>0</v>
      </c>
      <c r="K74" s="351">
        <f>Производство!H42/(1+$A53)</f>
        <v>0</v>
      </c>
      <c r="L74" s="351">
        <f>Производство!I42/(1+$A53)</f>
        <v>0</v>
      </c>
      <c r="M74" s="351">
        <f>Производство!J42/(1+$A53)</f>
        <v>0</v>
      </c>
      <c r="N74" s="351">
        <f>Производство!K42/(1+$A53)</f>
        <v>0</v>
      </c>
      <c r="O74" s="351">
        <f>Производство!L42/(1+$A53)</f>
        <v>0</v>
      </c>
      <c r="P74" s="351">
        <f>Производство!M42/(1+$A53)</f>
        <v>0</v>
      </c>
      <c r="Q74" s="351">
        <f>Производство!N42/(1+$A53)</f>
        <v>0</v>
      </c>
    </row>
    <row r="75" spans="1:17" ht="10.5">
      <c r="A75" s="228"/>
      <c r="B75" s="228"/>
      <c r="C75" s="228"/>
      <c r="D75" s="297"/>
      <c r="E75" s="351">
        <f>Производство!B43/(1+$A54)</f>
        <v>0</v>
      </c>
      <c r="F75" s="351">
        <f>Производство!C43/(1+$A54)</f>
        <v>0</v>
      </c>
      <c r="G75" s="351">
        <f>Производство!D43/(1+$A54)</f>
        <v>0</v>
      </c>
      <c r="H75" s="351">
        <f>Производство!E43/(1+$A54)</f>
        <v>0</v>
      </c>
      <c r="I75" s="351">
        <f>Производство!F43/(1+$A54)</f>
        <v>0</v>
      </c>
      <c r="J75" s="351">
        <f>Производство!G43/(1+$A54)</f>
        <v>0</v>
      </c>
      <c r="K75" s="351">
        <f>Производство!H43/(1+$A54)</f>
        <v>0</v>
      </c>
      <c r="L75" s="351">
        <f>Производство!I43/(1+$A54)</f>
        <v>0</v>
      </c>
      <c r="M75" s="351">
        <f>Производство!J43/(1+$A54)</f>
        <v>0</v>
      </c>
      <c r="N75" s="351">
        <f>Производство!K43/(1+$A54)</f>
        <v>0</v>
      </c>
      <c r="O75" s="351">
        <f>Производство!L43/(1+$A54)</f>
        <v>0</v>
      </c>
      <c r="P75" s="351">
        <f>Производство!M43/(1+$A54)</f>
        <v>0</v>
      </c>
      <c r="Q75" s="351">
        <f>Производство!N43/(1+$A54)</f>
        <v>0</v>
      </c>
    </row>
    <row r="76" spans="1:17" ht="10.5">
      <c r="A76" s="228"/>
      <c r="B76" s="228"/>
      <c r="C76" s="228"/>
      <c r="D76" s="297"/>
      <c r="E76" s="351">
        <f>Производство!B44/(1+$A55)</f>
        <v>0</v>
      </c>
      <c r="F76" s="351">
        <f>Производство!C44/(1+$A55)</f>
        <v>0</v>
      </c>
      <c r="G76" s="351">
        <f>Производство!D44/(1+$A55)</f>
        <v>0</v>
      </c>
      <c r="H76" s="351">
        <f>Производство!E44/(1+$A55)</f>
        <v>0</v>
      </c>
      <c r="I76" s="351">
        <f>Производство!F44/(1+$A55)</f>
        <v>0</v>
      </c>
      <c r="J76" s="351">
        <f>Производство!G44/(1+$A55)</f>
        <v>0</v>
      </c>
      <c r="K76" s="351">
        <f>Производство!H44/(1+$A55)</f>
        <v>0</v>
      </c>
      <c r="L76" s="351">
        <f>Производство!I44/(1+$A55)</f>
        <v>0</v>
      </c>
      <c r="M76" s="351">
        <f>Производство!J44/(1+$A55)</f>
        <v>0</v>
      </c>
      <c r="N76" s="351">
        <f>Производство!K44/(1+$A55)</f>
        <v>0</v>
      </c>
      <c r="O76" s="351">
        <f>Производство!L44/(1+$A55)</f>
        <v>0</v>
      </c>
      <c r="P76" s="351">
        <f>Производство!M44/(1+$A55)</f>
        <v>0</v>
      </c>
      <c r="Q76" s="351">
        <f>Производство!N44/(1+$A55)</f>
        <v>0</v>
      </c>
    </row>
    <row r="77" spans="1:17" ht="10.5">
      <c r="A77" s="228"/>
      <c r="B77" s="228"/>
      <c r="C77" s="228"/>
      <c r="D77" s="297"/>
      <c r="E77" s="351">
        <f>Производство!B45/(1+$A56)</f>
        <v>0</v>
      </c>
      <c r="F77" s="351">
        <f>Производство!C45/(1+$A56)</f>
        <v>0</v>
      </c>
      <c r="G77" s="351">
        <f>Производство!D45/(1+$A56)</f>
        <v>0</v>
      </c>
      <c r="H77" s="351">
        <f>Производство!E45/(1+$A56)</f>
        <v>0</v>
      </c>
      <c r="I77" s="351">
        <f>Производство!F45/(1+$A56)</f>
        <v>0</v>
      </c>
      <c r="J77" s="351">
        <f>Производство!G45/(1+$A56)</f>
        <v>0</v>
      </c>
      <c r="K77" s="351">
        <f>Производство!H45/(1+$A56)</f>
        <v>0</v>
      </c>
      <c r="L77" s="351">
        <f>Производство!I45/(1+$A56)</f>
        <v>0</v>
      </c>
      <c r="M77" s="351">
        <f>Производство!J45/(1+$A56)</f>
        <v>0</v>
      </c>
      <c r="N77" s="351">
        <f>Производство!K45/(1+$A56)</f>
        <v>0</v>
      </c>
      <c r="O77" s="351">
        <f>Производство!L45/(1+$A56)</f>
        <v>0</v>
      </c>
      <c r="P77" s="351">
        <f>Производство!M45/(1+$A56)</f>
        <v>0</v>
      </c>
      <c r="Q77" s="351">
        <f>Производство!N45/(1+$A56)</f>
        <v>0</v>
      </c>
    </row>
    <row r="78" spans="1:17" ht="10.5">
      <c r="A78" s="228"/>
      <c r="B78" s="228"/>
      <c r="C78" s="228"/>
      <c r="D78" s="297"/>
      <c r="E78" s="351">
        <f>Производство!B46/(1+$A57)</f>
        <v>0</v>
      </c>
      <c r="F78" s="351">
        <f>Производство!C46/(1+$A57)</f>
        <v>0</v>
      </c>
      <c r="G78" s="351">
        <f>Производство!D46/(1+$A57)</f>
        <v>0</v>
      </c>
      <c r="H78" s="351">
        <f>Производство!E46/(1+$A57)</f>
        <v>0</v>
      </c>
      <c r="I78" s="351">
        <f>Производство!F46/(1+$A57)</f>
        <v>0</v>
      </c>
      <c r="J78" s="351">
        <f>Производство!G46/(1+$A57)</f>
        <v>0</v>
      </c>
      <c r="K78" s="351">
        <f>Производство!H46/(1+$A57)</f>
        <v>0</v>
      </c>
      <c r="L78" s="351">
        <f>Производство!I46/(1+$A57)</f>
        <v>0</v>
      </c>
      <c r="M78" s="351">
        <f>Производство!J46/(1+$A57)</f>
        <v>0</v>
      </c>
      <c r="N78" s="351">
        <f>Производство!K46/(1+$A57)</f>
        <v>0</v>
      </c>
      <c r="O78" s="351">
        <f>Производство!L46/(1+$A57)</f>
        <v>0</v>
      </c>
      <c r="P78" s="351">
        <f>Производство!M46/(1+$A57)</f>
        <v>0</v>
      </c>
      <c r="Q78" s="351">
        <f>Производство!N46/(1+$A57)</f>
        <v>0</v>
      </c>
    </row>
    <row r="79" spans="4:17" s="228" customFormat="1" ht="10.5">
      <c r="D79" s="297" t="s">
        <v>180</v>
      </c>
      <c r="E79" s="350">
        <f ca="1">SUM(E74:OFFSET(E74,PRODUCTS_NUM-1,0))</f>
        <v>0</v>
      </c>
      <c r="F79" s="350">
        <f ca="1">SUM(F74:OFFSET(F74,PRODUCTS_NUM-1,0))</f>
        <v>0</v>
      </c>
      <c r="G79" s="350">
        <f ca="1">SUM(G74:OFFSET(G74,PRODUCTS_NUM-1,0))</f>
        <v>0</v>
      </c>
      <c r="H79" s="350">
        <f ca="1">SUM(H74:OFFSET(H74,PRODUCTS_NUM-1,0))</f>
        <v>0</v>
      </c>
      <c r="I79" s="350">
        <f ca="1">SUM(I74:OFFSET(I74,PRODUCTS_NUM-1,0))</f>
        <v>0</v>
      </c>
      <c r="J79" s="350">
        <f ca="1">SUM(J74:OFFSET(J74,PRODUCTS_NUM-1,0))</f>
        <v>0</v>
      </c>
      <c r="K79" s="350">
        <f ca="1">SUM(K74:OFFSET(K74,PRODUCTS_NUM-1,0))</f>
        <v>0</v>
      </c>
      <c r="L79" s="350">
        <f ca="1">SUM(L74:OFFSET(L74,PRODUCTS_NUM-1,0))</f>
        <v>0</v>
      </c>
      <c r="M79" s="350">
        <f ca="1">SUM(M74:OFFSET(M74,PRODUCTS_NUM-1,0))</f>
        <v>0</v>
      </c>
      <c r="N79" s="350">
        <f ca="1">SUM(N74:OFFSET(N74,PRODUCTS_NUM-1,0))</f>
        <v>0</v>
      </c>
      <c r="O79" s="350">
        <f ca="1">SUM(O74:OFFSET(O74,PRODUCTS_NUM-1,0))</f>
        <v>0</v>
      </c>
      <c r="P79" s="350">
        <f ca="1">SUM(P74:OFFSET(P74,PRODUCTS_NUM-1,0))</f>
        <v>0</v>
      </c>
      <c r="Q79" s="350">
        <f ca="1">SUM(Q74:OFFSET(Q74,PRODUCTS_NUM-1,0))</f>
        <v>0</v>
      </c>
    </row>
    <row r="80" spans="1:4" s="347" customFormat="1" ht="10.5">
      <c r="A80" s="370" t="s">
        <v>95</v>
      </c>
      <c r="B80" s="370" t="s">
        <v>232</v>
      </c>
      <c r="C80" s="370" t="s">
        <v>233</v>
      </c>
      <c r="D80" s="371" t="s">
        <v>234</v>
      </c>
    </row>
    <row r="81" spans="1:5" s="298" customFormat="1" ht="10.5">
      <c r="A81" s="298" t="s">
        <v>227</v>
      </c>
      <c r="D81" s="299"/>
      <c r="E81" s="298" t="s">
        <v>235</v>
      </c>
    </row>
    <row r="82" spans="1:17" ht="10.5">
      <c r="A82" s="347">
        <v>-1</v>
      </c>
      <c r="B82" s="347">
        <v>-1</v>
      </c>
      <c r="C82" s="347">
        <v>-1</v>
      </c>
      <c r="D82" s="348">
        <v>-1</v>
      </c>
      <c r="E82" s="351">
        <f>IF($C82=-1,Данные!C98/(1+Inside!$A108),Данные!C98)</f>
        <v>0</v>
      </c>
      <c r="F82" s="351">
        <f>IF($C82=-1,Данные!D98/(1+Inside!$A108),Данные!D98)</f>
        <v>0</v>
      </c>
      <c r="G82" s="351">
        <f>IF($C82=-1,Данные!E98/(1+Inside!$A108),Данные!E98)</f>
        <v>0</v>
      </c>
      <c r="H82" s="351">
        <f>IF($C82=-1,Данные!F98/(1+Inside!$A108),Данные!F98)</f>
        <v>0</v>
      </c>
      <c r="I82" s="351">
        <f>IF($C82=-1,Данные!G98/(1+Inside!$A108),Данные!G98)</f>
        <v>0</v>
      </c>
      <c r="J82" s="351">
        <f>IF($C82=-1,Данные!H98/(1+Inside!$A108),Данные!H98)</f>
        <v>0</v>
      </c>
      <c r="K82" s="351">
        <f>IF($C82=-1,Данные!I98/(1+Inside!$A108),Данные!I98)</f>
        <v>0</v>
      </c>
      <c r="L82" s="351">
        <f>IF($C82=-1,Данные!J98/(1+Inside!$A108),Данные!J98)</f>
        <v>0</v>
      </c>
      <c r="M82" s="351">
        <f>IF($C82=-1,Данные!K98/(1+Inside!$A108),Данные!K98)</f>
        <v>0</v>
      </c>
      <c r="N82" s="351">
        <f>IF($C82=-1,Данные!L98/(1+Inside!$A108),Данные!L98)</f>
        <v>0</v>
      </c>
      <c r="O82" s="351">
        <f>IF($C82=-1,Данные!M98/(1+Inside!$A108),Данные!M98)</f>
        <v>0</v>
      </c>
      <c r="P82" s="351">
        <f>IF($C82=-1,Данные!N98/(1+Inside!$A108),Данные!N98)</f>
        <v>0</v>
      </c>
      <c r="Q82" s="351">
        <f>IF($C82=-1,Данные!O98/(1+Inside!$A108),Данные!O98)</f>
        <v>0</v>
      </c>
    </row>
    <row r="83" spans="4:17" s="228" customFormat="1" ht="10.5">
      <c r="D83" s="297" t="s">
        <v>180</v>
      </c>
      <c r="E83" s="350">
        <f ca="1">SUM(E82:OFFSET(E82,ASS_COUNT_1-1,0))</f>
        <v>0</v>
      </c>
      <c r="F83" s="350">
        <f ca="1">SUM(F82:OFFSET(F82,ASS_COUNT_1-1,0))</f>
        <v>0</v>
      </c>
      <c r="G83" s="350">
        <f ca="1">SUM(G82:OFFSET(G82,ASS_COUNT_1-1,0))</f>
        <v>0</v>
      </c>
      <c r="H83" s="350">
        <f ca="1">SUM(H82:OFFSET(H82,ASS_COUNT_1-1,0))</f>
        <v>0</v>
      </c>
      <c r="I83" s="350">
        <f ca="1">SUM(I82:OFFSET(I82,ASS_COUNT_1-1,0))</f>
        <v>0</v>
      </c>
      <c r="J83" s="350">
        <f ca="1">SUM(J82:OFFSET(J82,ASS_COUNT_1-1,0))</f>
        <v>0</v>
      </c>
      <c r="K83" s="350">
        <f ca="1">SUM(K82:OFFSET(K82,ASS_COUNT_1-1,0))</f>
        <v>0</v>
      </c>
      <c r="L83" s="350">
        <f ca="1">SUM(L82:OFFSET(L82,ASS_COUNT_1-1,0))</f>
        <v>0</v>
      </c>
      <c r="M83" s="350">
        <f ca="1">SUM(M82:OFFSET(M82,ASS_COUNT_1-1,0))</f>
        <v>0</v>
      </c>
      <c r="N83" s="350">
        <f ca="1">SUM(N82:OFFSET(N82,ASS_COUNT_1-1,0))</f>
        <v>0</v>
      </c>
      <c r="O83" s="350">
        <f ca="1">SUM(O82:OFFSET(O82,ASS_COUNT_1-1,0))</f>
        <v>0</v>
      </c>
      <c r="P83" s="350">
        <f ca="1">SUM(P82:OFFSET(P82,ASS_COUNT_1-1,0))</f>
        <v>0</v>
      </c>
      <c r="Q83" s="350">
        <f ca="1">SUM(Q82:OFFSET(Q82,ASS_COUNT_1-1,0))</f>
        <v>0</v>
      </c>
    </row>
    <row r="84" spans="1:5" s="298" customFormat="1" ht="10.5">
      <c r="A84" s="298" t="s">
        <v>228</v>
      </c>
      <c r="D84" s="299"/>
      <c r="E84" s="298" t="s">
        <v>235</v>
      </c>
    </row>
    <row r="85" spans="1:17" ht="10.5">
      <c r="A85" s="347">
        <v>-1</v>
      </c>
      <c r="B85" s="347">
        <v>-1</v>
      </c>
      <c r="C85" s="347">
        <v>-1</v>
      </c>
      <c r="D85" s="348">
        <v>-1</v>
      </c>
      <c r="E85" s="351">
        <f>IF($C85=-1,Данные!C100/(1+Inside!$A111),Данные!C100)</f>
        <v>0</v>
      </c>
      <c r="F85" s="351">
        <f>IF($C85=-1,Данные!D100/(1+Inside!$A111),Данные!D100)</f>
        <v>100000</v>
      </c>
      <c r="G85" s="351">
        <f>IF($C85=-1,Данные!E100/(1+Inside!$A111),Данные!E100)</f>
        <v>0</v>
      </c>
      <c r="H85" s="351">
        <f>IF($C85=-1,Данные!F100/(1+Inside!$A111),Данные!F100)</f>
        <v>0</v>
      </c>
      <c r="I85" s="351">
        <f>IF($C85=-1,Данные!G100/(1+Inside!$A111),Данные!G100)</f>
        <v>0</v>
      </c>
      <c r="J85" s="351">
        <f>IF($C85=-1,Данные!H100/(1+Inside!$A111),Данные!H100)</f>
        <v>0</v>
      </c>
      <c r="K85" s="351">
        <f>IF($C85=-1,Данные!I100/(1+Inside!$A111),Данные!I100)</f>
        <v>0</v>
      </c>
      <c r="L85" s="351">
        <f>IF($C85=-1,Данные!J100/(1+Inside!$A111),Данные!J100)</f>
        <v>0</v>
      </c>
      <c r="M85" s="351">
        <f>IF($C85=-1,Данные!K100/(1+Inside!$A111),Данные!K100)</f>
        <v>0</v>
      </c>
      <c r="N85" s="351">
        <f>IF($C85=-1,Данные!L100/(1+Inside!$A111),Данные!L100)</f>
        <v>0</v>
      </c>
      <c r="O85" s="351">
        <f>IF($C85=-1,Данные!M100/(1+Inside!$A111),Данные!M100)</f>
        <v>0</v>
      </c>
      <c r="P85" s="351">
        <f>IF($C85=-1,Данные!N100/(1+Inside!$A111),Данные!N100)</f>
        <v>0</v>
      </c>
      <c r="Q85" s="351">
        <f>IF($C85=-1,Данные!O100/(1+Inside!$A111),Данные!O100)</f>
        <v>0</v>
      </c>
    </row>
    <row r="86" spans="1:17" ht="10.5">
      <c r="A86" s="347">
        <v>-1</v>
      </c>
      <c r="B86" s="347">
        <v>-1</v>
      </c>
      <c r="C86" s="347">
        <v>-1</v>
      </c>
      <c r="D86" s="348">
        <v>-1</v>
      </c>
      <c r="E86" s="351">
        <f>IF($C86=-1,Данные!C101/(1+Inside!$A112),Данные!C101)</f>
        <v>0</v>
      </c>
      <c r="F86" s="351">
        <f>IF($C86=-1,Данные!D101/(1+Inside!$A112),Данные!D101)</f>
        <v>0</v>
      </c>
      <c r="G86" s="351">
        <f>IF($C86=-1,Данные!E101/(1+Inside!$A112),Данные!E101)</f>
        <v>0</v>
      </c>
      <c r="H86" s="351">
        <f>IF($C86=-1,Данные!F101/(1+Inside!$A112),Данные!F101)</f>
        <v>0</v>
      </c>
      <c r="I86" s="351">
        <f>IF($C86=-1,Данные!G101/(1+Inside!$A112),Данные!G101)</f>
        <v>0</v>
      </c>
      <c r="J86" s="351">
        <f>IF($C86=-1,Данные!H101/(1+Inside!$A112),Данные!H101)</f>
        <v>0</v>
      </c>
      <c r="K86" s="351">
        <f>IF($C86=-1,Данные!I101/(1+Inside!$A112),Данные!I101)</f>
        <v>0</v>
      </c>
      <c r="L86" s="351">
        <f>IF($C86=-1,Данные!J101/(1+Inside!$A112),Данные!J101)</f>
        <v>0</v>
      </c>
      <c r="M86" s="351">
        <f>IF($C86=-1,Данные!K101/(1+Inside!$A112),Данные!K101)</f>
        <v>0</v>
      </c>
      <c r="N86" s="351">
        <f>IF($C86=-1,Данные!L101/(1+Inside!$A112),Данные!L101)</f>
        <v>0</v>
      </c>
      <c r="O86" s="351">
        <f>IF($C86=-1,Данные!M101/(1+Inside!$A112),Данные!M101)</f>
        <v>0</v>
      </c>
      <c r="P86" s="351">
        <f>IF($C86=-1,Данные!N101/(1+Inside!$A112),Данные!N101)</f>
        <v>0</v>
      </c>
      <c r="Q86" s="351">
        <f>IF($C86=-1,Данные!O101/(1+Inside!$A112),Данные!O101)</f>
        <v>0</v>
      </c>
    </row>
    <row r="87" spans="1:17" ht="10.5">
      <c r="A87" s="347">
        <v>-1</v>
      </c>
      <c r="B87" s="347">
        <v>-1</v>
      </c>
      <c r="C87" s="347">
        <v>-1</v>
      </c>
      <c r="D87" s="348">
        <v>-1</v>
      </c>
      <c r="E87" s="351">
        <f>IF($C87=-1,Данные!C102/(1+Inside!$A113),Данные!C102)</f>
        <v>0</v>
      </c>
      <c r="F87" s="351">
        <f>IF($C87=-1,Данные!D102/(1+Inside!$A113),Данные!D102)</f>
        <v>0</v>
      </c>
      <c r="G87" s="351">
        <f>IF($C87=-1,Данные!E102/(1+Inside!$A113),Данные!E102)</f>
        <v>0</v>
      </c>
      <c r="H87" s="351">
        <f>IF($C87=-1,Данные!F102/(1+Inside!$A113),Данные!F102)</f>
        <v>0</v>
      </c>
      <c r="I87" s="351">
        <f>IF($C87=-1,Данные!G102/(1+Inside!$A113),Данные!G102)</f>
        <v>0</v>
      </c>
      <c r="J87" s="351">
        <f>IF($C87=-1,Данные!H102/(1+Inside!$A113),Данные!H102)</f>
        <v>0</v>
      </c>
      <c r="K87" s="351">
        <f>IF($C87=-1,Данные!I102/(1+Inside!$A113),Данные!I102)</f>
        <v>0</v>
      </c>
      <c r="L87" s="351">
        <f>IF($C87=-1,Данные!J102/(1+Inside!$A113),Данные!J102)</f>
        <v>0</v>
      </c>
      <c r="M87" s="351">
        <f>IF($C87=-1,Данные!K102/(1+Inside!$A113),Данные!K102)</f>
        <v>0</v>
      </c>
      <c r="N87" s="351">
        <f>IF($C87=-1,Данные!L102/(1+Inside!$A113),Данные!L102)</f>
        <v>0</v>
      </c>
      <c r="O87" s="351">
        <f>IF($C87=-1,Данные!M102/(1+Inside!$A113),Данные!M102)</f>
        <v>0</v>
      </c>
      <c r="P87" s="351">
        <f>IF($C87=-1,Данные!N102/(1+Inside!$A113),Данные!N102)</f>
        <v>0</v>
      </c>
      <c r="Q87" s="351">
        <f>IF($C87=-1,Данные!O102/(1+Inside!$A113),Данные!O102)</f>
        <v>0</v>
      </c>
    </row>
    <row r="88" spans="1:17" ht="10.5">
      <c r="A88" s="347">
        <v>-1</v>
      </c>
      <c r="B88" s="347">
        <v>-1</v>
      </c>
      <c r="C88" s="347">
        <v>-1</v>
      </c>
      <c r="D88" s="348">
        <v>-1</v>
      </c>
      <c r="E88" s="351">
        <f>IF($C88=-1,Данные!C103/(1+Inside!$A114),Данные!C103)</f>
        <v>0</v>
      </c>
      <c r="F88" s="351">
        <f>IF($C88=-1,Данные!D103/(1+Inside!$A114),Данные!D103)</f>
        <v>0</v>
      </c>
      <c r="G88" s="351">
        <f>IF($C88=-1,Данные!E103/(1+Inside!$A114),Данные!E103)</f>
        <v>0</v>
      </c>
      <c r="H88" s="351">
        <f>IF($C88=-1,Данные!F103/(1+Inside!$A114),Данные!F103)</f>
        <v>0</v>
      </c>
      <c r="I88" s="351">
        <f>IF($C88=-1,Данные!G103/(1+Inside!$A114),Данные!G103)</f>
        <v>0</v>
      </c>
      <c r="J88" s="351">
        <f>IF($C88=-1,Данные!H103/(1+Inside!$A114),Данные!H103)</f>
        <v>0</v>
      </c>
      <c r="K88" s="351">
        <f>IF($C88=-1,Данные!I103/(1+Inside!$A114),Данные!I103)</f>
        <v>0</v>
      </c>
      <c r="L88" s="351">
        <f>IF($C88=-1,Данные!J103/(1+Inside!$A114),Данные!J103)</f>
        <v>0</v>
      </c>
      <c r="M88" s="351">
        <f>IF($C88=-1,Данные!K103/(1+Inside!$A114),Данные!K103)</f>
        <v>0</v>
      </c>
      <c r="N88" s="351">
        <f>IF($C88=-1,Данные!L103/(1+Inside!$A114),Данные!L103)</f>
        <v>0</v>
      </c>
      <c r="O88" s="351">
        <f>IF($C88=-1,Данные!M103/(1+Inside!$A114),Данные!M103)</f>
        <v>0</v>
      </c>
      <c r="P88" s="351">
        <f>IF($C88=-1,Данные!N103/(1+Inside!$A114),Данные!N103)</f>
        <v>0</v>
      </c>
      <c r="Q88" s="351">
        <f>IF($C88=-1,Данные!O103/(1+Inside!$A114),Данные!O103)</f>
        <v>0</v>
      </c>
    </row>
    <row r="89" spans="4:17" s="228" customFormat="1" ht="10.5">
      <c r="D89" s="297" t="s">
        <v>180</v>
      </c>
      <c r="E89" s="350">
        <f ca="1">SUM(E85:OFFSET(E85,ASS_COUNT_2-1,0))</f>
        <v>0</v>
      </c>
      <c r="F89" s="350">
        <f ca="1">SUM(F85:OFFSET(F85,ASS_COUNT_2-1,0))</f>
        <v>100000</v>
      </c>
      <c r="G89" s="350">
        <f ca="1">SUM(G85:OFFSET(G85,ASS_COUNT_2-1,0))</f>
        <v>0</v>
      </c>
      <c r="H89" s="350">
        <f ca="1">SUM(H85:OFFSET(H85,ASS_COUNT_2-1,0))</f>
        <v>0</v>
      </c>
      <c r="I89" s="350">
        <f ca="1">SUM(I85:OFFSET(I85,ASS_COUNT_2-1,0))</f>
        <v>0</v>
      </c>
      <c r="J89" s="350">
        <f ca="1">SUM(J85:OFFSET(J85,ASS_COUNT_2-1,0))</f>
        <v>0</v>
      </c>
      <c r="K89" s="350">
        <f ca="1">SUM(K85:OFFSET(K85,ASS_COUNT_2-1,0))</f>
        <v>0</v>
      </c>
      <c r="L89" s="350">
        <f ca="1">SUM(L85:OFFSET(L85,ASS_COUNT_2-1,0))</f>
        <v>0</v>
      </c>
      <c r="M89" s="350">
        <f ca="1">SUM(M85:OFFSET(M85,ASS_COUNT_2-1,0))</f>
        <v>0</v>
      </c>
      <c r="N89" s="350">
        <f ca="1">SUM(N85:OFFSET(N85,ASS_COUNT_2-1,0))</f>
        <v>0</v>
      </c>
      <c r="O89" s="350">
        <f ca="1">SUM(O85:OFFSET(O85,ASS_COUNT_2-1,0))</f>
        <v>0</v>
      </c>
      <c r="P89" s="350">
        <f ca="1">SUM(P85:OFFSET(P85,ASS_COUNT_2-1,0))</f>
        <v>0</v>
      </c>
      <c r="Q89" s="350">
        <f ca="1">SUM(Q85:OFFSET(Q85,ASS_COUNT_2-1,0))</f>
        <v>0</v>
      </c>
    </row>
    <row r="90" spans="1:5" s="298" customFormat="1" ht="10.5">
      <c r="A90" s="298" t="s">
        <v>229</v>
      </c>
      <c r="D90" s="299"/>
      <c r="E90" s="298" t="s">
        <v>235</v>
      </c>
    </row>
    <row r="91" spans="1:17" ht="10.5">
      <c r="A91" s="347">
        <v>-1</v>
      </c>
      <c r="B91" s="347">
        <v>-1</v>
      </c>
      <c r="C91" s="347">
        <v>-1</v>
      </c>
      <c r="D91" s="348">
        <v>-1</v>
      </c>
      <c r="E91" s="351">
        <f>IF($C91=-1,Данные!C105/(1+Inside!$A117),Данные!C105)</f>
        <v>0</v>
      </c>
      <c r="F91" s="351">
        <f>IF($C91=-1,Данные!D105/(1+Inside!$A117),Данные!D105)</f>
        <v>0</v>
      </c>
      <c r="G91" s="351">
        <f>IF($C91=-1,Данные!E105/(1+Inside!$A117),Данные!E105)</f>
        <v>0</v>
      </c>
      <c r="H91" s="351">
        <f>IF($C91=-1,Данные!F105/(1+Inside!$A117),Данные!F105)</f>
        <v>0</v>
      </c>
      <c r="I91" s="351">
        <f>IF($C91=-1,Данные!G105/(1+Inside!$A117),Данные!G105)</f>
        <v>0</v>
      </c>
      <c r="J91" s="351">
        <f>IF($C91=-1,Данные!H105/(1+Inside!$A117),Данные!H105)</f>
        <v>0</v>
      </c>
      <c r="K91" s="351">
        <f>IF($C91=-1,Данные!I105/(1+Inside!$A117),Данные!I105)</f>
        <v>0</v>
      </c>
      <c r="L91" s="351">
        <f>IF($C91=-1,Данные!J105/(1+Inside!$A117),Данные!J105)</f>
        <v>0</v>
      </c>
      <c r="M91" s="351">
        <f>IF($C91=-1,Данные!K105/(1+Inside!$A117),Данные!K105)</f>
        <v>0</v>
      </c>
      <c r="N91" s="351">
        <f>IF($C91=-1,Данные!L105/(1+Inside!$A117),Данные!L105)</f>
        <v>0</v>
      </c>
      <c r="O91" s="351">
        <f>IF($C91=-1,Данные!M105/(1+Inside!$A117),Данные!M105)</f>
        <v>0</v>
      </c>
      <c r="P91" s="351">
        <f>IF($C91=-1,Данные!N105/(1+Inside!$A117),Данные!N105)</f>
        <v>0</v>
      </c>
      <c r="Q91" s="351">
        <f>IF($C91=-1,Данные!O105/(1+Inside!$A117),Данные!O105)</f>
        <v>0</v>
      </c>
    </row>
    <row r="92" spans="1:17" ht="10.5">
      <c r="A92" s="347">
        <v>-1</v>
      </c>
      <c r="B92" s="347">
        <v>-1</v>
      </c>
      <c r="C92" s="347">
        <v>-1</v>
      </c>
      <c r="D92" s="348">
        <v>-1</v>
      </c>
      <c r="E92" s="351">
        <f>IF($C92=-1,Данные!C106/(1+Inside!$A118),Данные!C106)</f>
        <v>0</v>
      </c>
      <c r="F92" s="351">
        <f>IF($C92=-1,Данные!D106/(1+Inside!$A118),Данные!D106)</f>
        <v>0</v>
      </c>
      <c r="G92" s="351">
        <f>IF($C92=-1,Данные!E106/(1+Inside!$A118),Данные!E106)</f>
        <v>0</v>
      </c>
      <c r="H92" s="351">
        <f>IF($C92=-1,Данные!F106/(1+Inside!$A118),Данные!F106)</f>
        <v>0</v>
      </c>
      <c r="I92" s="351">
        <f>IF($C92=-1,Данные!G106/(1+Inside!$A118),Данные!G106)</f>
        <v>0</v>
      </c>
      <c r="J92" s="351">
        <f>IF($C92=-1,Данные!H106/(1+Inside!$A118),Данные!H106)</f>
        <v>0</v>
      </c>
      <c r="K92" s="351">
        <f>IF($C92=-1,Данные!I106/(1+Inside!$A118),Данные!I106)</f>
        <v>0</v>
      </c>
      <c r="L92" s="351">
        <f>IF($C92=-1,Данные!J106/(1+Inside!$A118),Данные!J106)</f>
        <v>0</v>
      </c>
      <c r="M92" s="351">
        <f>IF($C92=-1,Данные!K106/(1+Inside!$A118),Данные!K106)</f>
        <v>0</v>
      </c>
      <c r="N92" s="351">
        <f>IF($C92=-1,Данные!L106/(1+Inside!$A118),Данные!L106)</f>
        <v>0</v>
      </c>
      <c r="O92" s="351">
        <f>IF($C92=-1,Данные!M106/(1+Inside!$A118),Данные!M106)</f>
        <v>0</v>
      </c>
      <c r="P92" s="351">
        <f>IF($C92=-1,Данные!N106/(1+Inside!$A118),Данные!N106)</f>
        <v>0</v>
      </c>
      <c r="Q92" s="351">
        <f>IF($C92=-1,Данные!O106/(1+Inside!$A118),Данные!O106)</f>
        <v>0</v>
      </c>
    </row>
    <row r="93" spans="4:17" s="228" customFormat="1" ht="10.5">
      <c r="D93" s="297" t="s">
        <v>180</v>
      </c>
      <c r="E93" s="350">
        <f ca="1">SUM(E91:OFFSET(E91,ASS_COUNT_3-1,0))</f>
        <v>0</v>
      </c>
      <c r="F93" s="350">
        <f ca="1">SUM(F91:OFFSET(F91,ASS_COUNT_3-1,0))</f>
        <v>0</v>
      </c>
      <c r="G93" s="350">
        <f ca="1">SUM(G91:OFFSET(G91,ASS_COUNT_3-1,0))</f>
        <v>0</v>
      </c>
      <c r="H93" s="350">
        <f ca="1">SUM(H91:OFFSET(H91,ASS_COUNT_3-1,0))</f>
        <v>0</v>
      </c>
      <c r="I93" s="350">
        <f ca="1">SUM(I91:OFFSET(I91,ASS_COUNT_3-1,0))</f>
        <v>0</v>
      </c>
      <c r="J93" s="350">
        <f ca="1">SUM(J91:OFFSET(J91,ASS_COUNT_3-1,0))</f>
        <v>0</v>
      </c>
      <c r="K93" s="350">
        <f ca="1">SUM(K91:OFFSET(K91,ASS_COUNT_3-1,0))</f>
        <v>0</v>
      </c>
      <c r="L93" s="350">
        <f ca="1">SUM(L91:OFFSET(L91,ASS_COUNT_3-1,0))</f>
        <v>0</v>
      </c>
      <c r="M93" s="350">
        <f ca="1">SUM(M91:OFFSET(M91,ASS_COUNT_3-1,0))</f>
        <v>0</v>
      </c>
      <c r="N93" s="350">
        <f ca="1">SUM(N91:OFFSET(N91,ASS_COUNT_3-1,0))</f>
        <v>0</v>
      </c>
      <c r="O93" s="350">
        <f ca="1">SUM(O91:OFFSET(O91,ASS_COUNT_3-1,0))</f>
        <v>0</v>
      </c>
      <c r="P93" s="350">
        <f ca="1">SUM(P91:OFFSET(P91,ASS_COUNT_3-1,0))</f>
        <v>0</v>
      </c>
      <c r="Q93" s="350">
        <f ca="1">SUM(Q91:OFFSET(Q91,ASS_COUNT_3-1,0))</f>
        <v>0</v>
      </c>
    </row>
    <row r="94" spans="1:5" s="298" customFormat="1" ht="10.5">
      <c r="A94" s="298" t="s">
        <v>230</v>
      </c>
      <c r="D94" s="299"/>
      <c r="E94" s="298" t="s">
        <v>235</v>
      </c>
    </row>
    <row r="95" spans="1:17" ht="10.5">
      <c r="A95" s="347">
        <v>-1</v>
      </c>
      <c r="B95" s="347">
        <v>-1</v>
      </c>
      <c r="C95" s="347">
        <v>-1</v>
      </c>
      <c r="D95" s="348">
        <v>-1</v>
      </c>
      <c r="E95" s="351">
        <f>IF($C95=-1,Данные!C108/(1+Inside!$A121),Данные!C108)</f>
        <v>0</v>
      </c>
      <c r="F95" s="351">
        <f>IF($C95=-1,Данные!D108/(1+Inside!$A121),Данные!D108)</f>
        <v>60000</v>
      </c>
      <c r="G95" s="351">
        <f>IF($C95=-1,Данные!E108/(1+Inside!$A121),Данные!E108)</f>
        <v>0</v>
      </c>
      <c r="H95" s="351">
        <f>IF($C95=-1,Данные!F108/(1+Inside!$A121),Данные!F108)</f>
        <v>0</v>
      </c>
      <c r="I95" s="351">
        <f>IF($C95=-1,Данные!G108/(1+Inside!$A121),Данные!G108)</f>
        <v>0</v>
      </c>
      <c r="J95" s="351">
        <f>IF($C95=-1,Данные!H108/(1+Inside!$A121),Данные!H108)</f>
        <v>0</v>
      </c>
      <c r="K95" s="351">
        <f>IF($C95=-1,Данные!I108/(1+Inside!$A121),Данные!I108)</f>
        <v>0</v>
      </c>
      <c r="L95" s="351">
        <f>IF($C95=-1,Данные!J108/(1+Inside!$A121),Данные!J108)</f>
        <v>0</v>
      </c>
      <c r="M95" s="351">
        <f>IF($C95=-1,Данные!K108/(1+Inside!$A121),Данные!K108)</f>
        <v>0</v>
      </c>
      <c r="N95" s="351">
        <f>IF($C95=-1,Данные!L108/(1+Inside!$A121),Данные!L108)</f>
        <v>0</v>
      </c>
      <c r="O95" s="351">
        <f>IF($C95=-1,Данные!M108/(1+Inside!$A121),Данные!M108)</f>
        <v>0</v>
      </c>
      <c r="P95" s="351">
        <f>IF($C95=-1,Данные!N108/(1+Inside!$A121),Данные!N108)</f>
        <v>0</v>
      </c>
      <c r="Q95" s="351">
        <f>IF($C95=-1,Данные!O108/(1+Inside!$A121),Данные!O108)</f>
        <v>0</v>
      </c>
    </row>
    <row r="96" spans="1:17" ht="10.5">
      <c r="A96" s="347">
        <v>-1</v>
      </c>
      <c r="B96" s="347">
        <v>-1</v>
      </c>
      <c r="C96" s="347">
        <v>-1</v>
      </c>
      <c r="D96" s="348">
        <v>-1</v>
      </c>
      <c r="E96" s="351">
        <f>IF($C96=-1,Данные!C109/(1+Inside!$A122),Данные!C109)</f>
        <v>0</v>
      </c>
      <c r="F96" s="351">
        <f>IF($C96=-1,Данные!D109/(1+Inside!$A122),Данные!D109)</f>
        <v>0</v>
      </c>
      <c r="G96" s="351">
        <f>IF($C96=-1,Данные!E109/(1+Inside!$A122),Данные!E109)</f>
        <v>0</v>
      </c>
      <c r="H96" s="351">
        <f>IF($C96=-1,Данные!F109/(1+Inside!$A122),Данные!F109)</f>
        <v>0</v>
      </c>
      <c r="I96" s="351">
        <f>IF($C96=-1,Данные!G109/(1+Inside!$A122),Данные!G109)</f>
        <v>0</v>
      </c>
      <c r="J96" s="351">
        <f>IF($C96=-1,Данные!H109/(1+Inside!$A122),Данные!H109)</f>
        <v>0</v>
      </c>
      <c r="K96" s="351">
        <f>IF($C96=-1,Данные!I109/(1+Inside!$A122),Данные!I109)</f>
        <v>0</v>
      </c>
      <c r="L96" s="351">
        <f>IF($C96=-1,Данные!J109/(1+Inside!$A122),Данные!J109)</f>
        <v>0</v>
      </c>
      <c r="M96" s="351">
        <f>IF($C96=-1,Данные!K109/(1+Inside!$A122),Данные!K109)</f>
        <v>0</v>
      </c>
      <c r="N96" s="351">
        <f>IF($C96=-1,Данные!L109/(1+Inside!$A122),Данные!L109)</f>
        <v>0</v>
      </c>
      <c r="O96" s="351">
        <f>IF($C96=-1,Данные!M109/(1+Inside!$A122),Данные!M109)</f>
        <v>0</v>
      </c>
      <c r="P96" s="351">
        <f>IF($C96=-1,Данные!N109/(1+Inside!$A122),Данные!N109)</f>
        <v>0</v>
      </c>
      <c r="Q96" s="351">
        <f>IF($C96=-1,Данные!O109/(1+Inside!$A122),Данные!O109)</f>
        <v>0</v>
      </c>
    </row>
    <row r="97" spans="1:17" ht="10.5">
      <c r="A97" s="347">
        <v>-1</v>
      </c>
      <c r="B97" s="347">
        <v>-1</v>
      </c>
      <c r="C97" s="347">
        <v>-1</v>
      </c>
      <c r="D97" s="348">
        <v>-1</v>
      </c>
      <c r="E97" s="351">
        <f>IF($C97=-1,Данные!C110/(1+Inside!$A123),Данные!C110)</f>
        <v>0</v>
      </c>
      <c r="F97" s="351">
        <f>IF($C97=-1,Данные!D110/(1+Inside!$A123),Данные!D110)</f>
        <v>0</v>
      </c>
      <c r="G97" s="351">
        <f>IF($C97=-1,Данные!E110/(1+Inside!$A123),Данные!E110)</f>
        <v>0</v>
      </c>
      <c r="H97" s="351">
        <f>IF($C97=-1,Данные!F110/(1+Inside!$A123),Данные!F110)</f>
        <v>0</v>
      </c>
      <c r="I97" s="351">
        <f>IF($C97=-1,Данные!G110/(1+Inside!$A123),Данные!G110)</f>
        <v>0</v>
      </c>
      <c r="J97" s="351">
        <f>IF($C97=-1,Данные!H110/(1+Inside!$A123),Данные!H110)</f>
        <v>0</v>
      </c>
      <c r="K97" s="351">
        <f>IF($C97=-1,Данные!I110/(1+Inside!$A123),Данные!I110)</f>
        <v>0</v>
      </c>
      <c r="L97" s="351">
        <f>IF($C97=-1,Данные!J110/(1+Inside!$A123),Данные!J110)</f>
        <v>0</v>
      </c>
      <c r="M97" s="351">
        <f>IF($C97=-1,Данные!K110/(1+Inside!$A123),Данные!K110)</f>
        <v>0</v>
      </c>
      <c r="N97" s="351">
        <f>IF($C97=-1,Данные!L110/(1+Inside!$A123),Данные!L110)</f>
        <v>0</v>
      </c>
      <c r="O97" s="351">
        <f>IF($C97=-1,Данные!M110/(1+Inside!$A123),Данные!M110)</f>
        <v>0</v>
      </c>
      <c r="P97" s="351">
        <f>IF($C97=-1,Данные!N110/(1+Inside!$A123),Данные!N110)</f>
        <v>0</v>
      </c>
      <c r="Q97" s="351">
        <f>IF($C97=-1,Данные!O110/(1+Inside!$A123),Данные!O110)</f>
        <v>0</v>
      </c>
    </row>
    <row r="98" spans="1:17" ht="10.5">
      <c r="A98" s="347">
        <v>-1</v>
      </c>
      <c r="B98" s="347">
        <v>-1</v>
      </c>
      <c r="C98" s="347">
        <v>-1</v>
      </c>
      <c r="D98" s="348">
        <v>-1</v>
      </c>
      <c r="E98" s="351">
        <f>IF($C98=-1,Данные!C111/(1+Inside!$A124),Данные!C111)</f>
        <v>0</v>
      </c>
      <c r="F98" s="351">
        <f>IF($C98=-1,Данные!D111/(1+Inside!$A124),Данные!D111)</f>
        <v>0</v>
      </c>
      <c r="G98" s="351">
        <f>IF($C98=-1,Данные!E111/(1+Inside!$A124),Данные!E111)</f>
        <v>0</v>
      </c>
      <c r="H98" s="351">
        <f>IF($C98=-1,Данные!F111/(1+Inside!$A124),Данные!F111)</f>
        <v>0</v>
      </c>
      <c r="I98" s="351">
        <f>IF($C98=-1,Данные!G111/(1+Inside!$A124),Данные!G111)</f>
        <v>0</v>
      </c>
      <c r="J98" s="351">
        <f>IF($C98=-1,Данные!H111/(1+Inside!$A124),Данные!H111)</f>
        <v>0</v>
      </c>
      <c r="K98" s="351">
        <f>IF($C98=-1,Данные!I111/(1+Inside!$A124),Данные!I111)</f>
        <v>0</v>
      </c>
      <c r="L98" s="351">
        <f>IF($C98=-1,Данные!J111/(1+Inside!$A124),Данные!J111)</f>
        <v>0</v>
      </c>
      <c r="M98" s="351">
        <f>IF($C98=-1,Данные!K111/(1+Inside!$A124),Данные!K111)</f>
        <v>0</v>
      </c>
      <c r="N98" s="351">
        <f>IF($C98=-1,Данные!L111/(1+Inside!$A124),Данные!L111)</f>
        <v>0</v>
      </c>
      <c r="O98" s="351">
        <f>IF($C98=-1,Данные!M111/(1+Inside!$A124),Данные!M111)</f>
        <v>0</v>
      </c>
      <c r="P98" s="351">
        <f>IF($C98=-1,Данные!N111/(1+Inside!$A124),Данные!N111)</f>
        <v>0</v>
      </c>
      <c r="Q98" s="351">
        <f>IF($C98=-1,Данные!O111/(1+Inside!$A124),Данные!O111)</f>
        <v>0</v>
      </c>
    </row>
    <row r="99" spans="1:17" ht="10.5">
      <c r="A99" s="347">
        <v>-1</v>
      </c>
      <c r="B99" s="347">
        <v>-1</v>
      </c>
      <c r="C99" s="347">
        <v>-1</v>
      </c>
      <c r="D99" s="348">
        <v>-1</v>
      </c>
      <c r="E99" s="351">
        <f>IF($C99=-1,Данные!C112/(1+Inside!$A125),Данные!C112)</f>
        <v>0</v>
      </c>
      <c r="F99" s="351">
        <f>IF($C99=-1,Данные!D112/(1+Inside!$A125),Данные!D112)</f>
        <v>0</v>
      </c>
      <c r="G99" s="351">
        <f>IF($C99=-1,Данные!E112/(1+Inside!$A125),Данные!E112)</f>
        <v>0</v>
      </c>
      <c r="H99" s="351">
        <f>IF($C99=-1,Данные!F112/(1+Inside!$A125),Данные!F112)</f>
        <v>0</v>
      </c>
      <c r="I99" s="351">
        <f>IF($C99=-1,Данные!G112/(1+Inside!$A125),Данные!G112)</f>
        <v>0</v>
      </c>
      <c r="J99" s="351">
        <f>IF($C99=-1,Данные!H112/(1+Inside!$A125),Данные!H112)</f>
        <v>0</v>
      </c>
      <c r="K99" s="351">
        <f>IF($C99=-1,Данные!I112/(1+Inside!$A125),Данные!I112)</f>
        <v>0</v>
      </c>
      <c r="L99" s="351">
        <f>IF($C99=-1,Данные!J112/(1+Inside!$A125),Данные!J112)</f>
        <v>0</v>
      </c>
      <c r="M99" s="351">
        <f>IF($C99=-1,Данные!K112/(1+Inside!$A125),Данные!K112)</f>
        <v>0</v>
      </c>
      <c r="N99" s="351">
        <f>IF($C99=-1,Данные!L112/(1+Inside!$A125),Данные!L112)</f>
        <v>0</v>
      </c>
      <c r="O99" s="351">
        <f>IF($C99=-1,Данные!M112/(1+Inside!$A125),Данные!M112)</f>
        <v>0</v>
      </c>
      <c r="P99" s="351">
        <f>IF($C99=-1,Данные!N112/(1+Inside!$A125),Данные!N112)</f>
        <v>0</v>
      </c>
      <c r="Q99" s="351">
        <f>IF($C99=-1,Данные!O112/(1+Inside!$A125),Данные!O112)</f>
        <v>0</v>
      </c>
    </row>
    <row r="100" spans="4:17" s="228" customFormat="1" ht="10.5">
      <c r="D100" s="297" t="s">
        <v>180</v>
      </c>
      <c r="E100" s="350">
        <f ca="1">SUM(E95:OFFSET(E95,ASS_COUNT_4-1,0))</f>
        <v>0</v>
      </c>
      <c r="F100" s="350">
        <f ca="1">SUM(F95:OFFSET(F95,ASS_COUNT_4-1,0))</f>
        <v>60000</v>
      </c>
      <c r="G100" s="350">
        <f ca="1">SUM(G95:OFFSET(G95,ASS_COUNT_4-1,0))</f>
        <v>0</v>
      </c>
      <c r="H100" s="350">
        <f ca="1">SUM(H95:OFFSET(H95,ASS_COUNT_4-1,0))</f>
        <v>0</v>
      </c>
      <c r="I100" s="350">
        <f ca="1">SUM(I95:OFFSET(I95,ASS_COUNT_4-1,0))</f>
        <v>0</v>
      </c>
      <c r="J100" s="350">
        <f ca="1">SUM(J95:OFFSET(J95,ASS_COUNT_4-1,0))</f>
        <v>0</v>
      </c>
      <c r="K100" s="350">
        <f ca="1">SUM(K95:OFFSET(K95,ASS_COUNT_4-1,0))</f>
        <v>0</v>
      </c>
      <c r="L100" s="350">
        <f ca="1">SUM(L95:OFFSET(L95,ASS_COUNT_4-1,0))</f>
        <v>0</v>
      </c>
      <c r="M100" s="350">
        <f ca="1">SUM(M95:OFFSET(M95,ASS_COUNT_4-1,0))</f>
        <v>0</v>
      </c>
      <c r="N100" s="350">
        <f ca="1">SUM(N95:OFFSET(N95,ASS_COUNT_4-1,0))</f>
        <v>0</v>
      </c>
      <c r="O100" s="350">
        <f ca="1">SUM(O95:OFFSET(O95,ASS_COUNT_4-1,0))</f>
        <v>0</v>
      </c>
      <c r="P100" s="350">
        <f ca="1">SUM(P95:OFFSET(P95,ASS_COUNT_4-1,0))</f>
        <v>0</v>
      </c>
      <c r="Q100" s="350">
        <f ca="1">SUM(Q95:OFFSET(Q95,ASS_COUNT_4-1,0))</f>
        <v>0</v>
      </c>
    </row>
    <row r="101" spans="1:5" s="298" customFormat="1" ht="10.5">
      <c r="A101" s="298" t="s">
        <v>231</v>
      </c>
      <c r="D101" s="299"/>
      <c r="E101" s="298" t="s">
        <v>235</v>
      </c>
    </row>
    <row r="102" spans="1:17" ht="10.5">
      <c r="A102" s="347">
        <v>-1</v>
      </c>
      <c r="B102" s="347">
        <v>-1</v>
      </c>
      <c r="C102" s="347">
        <v>-1</v>
      </c>
      <c r="D102" s="348">
        <v>-1</v>
      </c>
      <c r="E102" s="351">
        <f>IF($C102=-1,Данные!C114/(1+Inside!$A128),Данные!C114)</f>
        <v>0</v>
      </c>
      <c r="F102" s="351">
        <f>IF($C102=-1,Данные!D114/(1+Inside!$A128),Данные!D114)</f>
        <v>100000</v>
      </c>
      <c r="G102" s="351">
        <f>IF($C102=-1,Данные!E114/(1+Inside!$A128),Данные!E114)</f>
        <v>0</v>
      </c>
      <c r="H102" s="351">
        <f>IF($C102=-1,Данные!F114/(1+Inside!$A128),Данные!F114)</f>
        <v>0</v>
      </c>
      <c r="I102" s="351">
        <f>IF($C102=-1,Данные!G114/(1+Inside!$A128),Данные!G114)</f>
        <v>0</v>
      </c>
      <c r="J102" s="351">
        <f>IF($C102=-1,Данные!H114/(1+Inside!$A128),Данные!H114)</f>
        <v>0</v>
      </c>
      <c r="K102" s="351">
        <f>IF($C102=-1,Данные!I114/(1+Inside!$A128),Данные!I114)</f>
        <v>0</v>
      </c>
      <c r="L102" s="351">
        <f>IF($C102=-1,Данные!J114/(1+Inside!$A128),Данные!J114)</f>
        <v>0</v>
      </c>
      <c r="M102" s="351">
        <f>IF($C102=-1,Данные!K114/(1+Inside!$A128),Данные!K114)</f>
        <v>0</v>
      </c>
      <c r="N102" s="351">
        <f>IF($C102=-1,Данные!L114/(1+Inside!$A128),Данные!L114)</f>
        <v>0</v>
      </c>
      <c r="O102" s="351">
        <f>IF($C102=-1,Данные!M114/(1+Inside!$A128),Данные!M114)</f>
        <v>0</v>
      </c>
      <c r="P102" s="351">
        <f>IF($C102=-1,Данные!N114/(1+Inside!$A128),Данные!N114)</f>
        <v>0</v>
      </c>
      <c r="Q102" s="351">
        <f>IF($C102=-1,Данные!O114/(1+Inside!$A128),Данные!O114)</f>
        <v>0</v>
      </c>
    </row>
    <row r="103" spans="1:17" ht="10.5">
      <c r="A103" s="347">
        <v>-1</v>
      </c>
      <c r="B103" s="347">
        <v>-1</v>
      </c>
      <c r="C103" s="347">
        <v>-1</v>
      </c>
      <c r="D103" s="348">
        <v>-1</v>
      </c>
      <c r="E103" s="351">
        <f>IF($C103=-1,Данные!C115/(1+Inside!$A129),Данные!C115)</f>
        <v>0</v>
      </c>
      <c r="F103" s="351">
        <f>IF($C103=-1,Данные!D115/(1+Inside!$A129),Данные!D115)</f>
        <v>50000</v>
      </c>
      <c r="G103" s="351">
        <f>IF($C103=-1,Данные!E115/(1+Inside!$A129),Данные!E115)</f>
        <v>0</v>
      </c>
      <c r="H103" s="351">
        <f>IF($C103=-1,Данные!F115/(1+Inside!$A129),Данные!F115)</f>
        <v>0</v>
      </c>
      <c r="I103" s="351">
        <f>IF($C103=-1,Данные!G115/(1+Inside!$A129),Данные!G115)</f>
        <v>0</v>
      </c>
      <c r="J103" s="351">
        <f>IF($C103=-1,Данные!H115/(1+Inside!$A129),Данные!H115)</f>
        <v>0</v>
      </c>
      <c r="K103" s="351">
        <f>IF($C103=-1,Данные!I115/(1+Inside!$A129),Данные!I115)</f>
        <v>0</v>
      </c>
      <c r="L103" s="351">
        <f>IF($C103=-1,Данные!J115/(1+Inside!$A129),Данные!J115)</f>
        <v>0</v>
      </c>
      <c r="M103" s="351">
        <f>IF($C103=-1,Данные!K115/(1+Inside!$A129),Данные!K115)</f>
        <v>0</v>
      </c>
      <c r="N103" s="351">
        <f>IF($C103=-1,Данные!L115/(1+Inside!$A129),Данные!L115)</f>
        <v>0</v>
      </c>
      <c r="O103" s="351">
        <f>IF($C103=-1,Данные!M115/(1+Inside!$A129),Данные!M115)</f>
        <v>0</v>
      </c>
      <c r="P103" s="351">
        <f>IF($C103=-1,Данные!N115/(1+Inside!$A129),Данные!N115)</f>
        <v>0</v>
      </c>
      <c r="Q103" s="351">
        <f>IF($C103=-1,Данные!O115/(1+Inside!$A129),Данные!O115)</f>
        <v>0</v>
      </c>
    </row>
    <row r="104" spans="1:17" ht="10.5">
      <c r="A104" s="347">
        <v>-1</v>
      </c>
      <c r="B104" s="347">
        <v>-1</v>
      </c>
      <c r="C104" s="347">
        <v>-1</v>
      </c>
      <c r="D104" s="348">
        <v>-1</v>
      </c>
      <c r="E104" s="351">
        <f>IF($C104=-1,Данные!C116/(1+Inside!$A130),Данные!C116)</f>
        <v>0</v>
      </c>
      <c r="F104" s="351">
        <f>IF($C104=-1,Данные!D116/(1+Inside!$A130),Данные!D116)</f>
        <v>100000</v>
      </c>
      <c r="G104" s="351">
        <f>IF($C104=-1,Данные!E116/(1+Inside!$A130),Данные!E116)</f>
        <v>0</v>
      </c>
      <c r="H104" s="351">
        <f>IF($C104=-1,Данные!F116/(1+Inside!$A130),Данные!F116)</f>
        <v>0</v>
      </c>
      <c r="I104" s="351">
        <f>IF($C104=-1,Данные!G116/(1+Inside!$A130),Данные!G116)</f>
        <v>0</v>
      </c>
      <c r="J104" s="351">
        <f>IF($C104=-1,Данные!H116/(1+Inside!$A130),Данные!H116)</f>
        <v>0</v>
      </c>
      <c r="K104" s="351">
        <f>IF($C104=-1,Данные!I116/(1+Inside!$A130),Данные!I116)</f>
        <v>0</v>
      </c>
      <c r="L104" s="351">
        <f>IF($C104=-1,Данные!J116/(1+Inside!$A130),Данные!J116)</f>
        <v>0</v>
      </c>
      <c r="M104" s="351">
        <f>IF($C104=-1,Данные!K116/(1+Inside!$A130),Данные!K116)</f>
        <v>0</v>
      </c>
      <c r="N104" s="351">
        <f>IF($C104=-1,Данные!L116/(1+Inside!$A130),Данные!L116)</f>
        <v>0</v>
      </c>
      <c r="O104" s="351">
        <f>IF($C104=-1,Данные!M116/(1+Inside!$A130),Данные!M116)</f>
        <v>0</v>
      </c>
      <c r="P104" s="351">
        <f>IF($C104=-1,Данные!N116/(1+Inside!$A130),Данные!N116)</f>
        <v>0</v>
      </c>
      <c r="Q104" s="351">
        <f>IF($C104=-1,Данные!O116/(1+Inside!$A130),Данные!O116)</f>
        <v>0</v>
      </c>
    </row>
    <row r="105" spans="1:17" ht="10.5">
      <c r="A105" s="347">
        <v>-1</v>
      </c>
      <c r="B105" s="347">
        <v>-1</v>
      </c>
      <c r="C105" s="347">
        <v>-1</v>
      </c>
      <c r="D105" s="348">
        <v>-1</v>
      </c>
      <c r="E105" s="351">
        <f>IF($C105=-1,Данные!C117/(1+Inside!$A131),Данные!C117)</f>
        <v>0</v>
      </c>
      <c r="F105" s="351">
        <f>IF($C105=-1,Данные!D117/(1+Inside!$A131),Данные!D117)</f>
        <v>0</v>
      </c>
      <c r="G105" s="351">
        <f>IF($C105=-1,Данные!E117/(1+Inside!$A131),Данные!E117)</f>
        <v>0</v>
      </c>
      <c r="H105" s="351">
        <f>IF($C105=-1,Данные!F117/(1+Inside!$A131),Данные!F117)</f>
        <v>0</v>
      </c>
      <c r="I105" s="351">
        <f>IF($C105=-1,Данные!G117/(1+Inside!$A131),Данные!G117)</f>
        <v>0</v>
      </c>
      <c r="J105" s="351">
        <f>IF($C105=-1,Данные!H117/(1+Inside!$A131),Данные!H117)</f>
        <v>0</v>
      </c>
      <c r="K105" s="351">
        <f>IF($C105=-1,Данные!I117/(1+Inside!$A131),Данные!I117)</f>
        <v>0</v>
      </c>
      <c r="L105" s="351">
        <f>IF($C105=-1,Данные!J117/(1+Inside!$A131),Данные!J117)</f>
        <v>0</v>
      </c>
      <c r="M105" s="351">
        <f>IF($C105=-1,Данные!K117/(1+Inside!$A131),Данные!K117)</f>
        <v>0</v>
      </c>
      <c r="N105" s="351">
        <f>IF($C105=-1,Данные!L117/(1+Inside!$A131),Данные!L117)</f>
        <v>0</v>
      </c>
      <c r="O105" s="351">
        <f>IF($C105=-1,Данные!M117/(1+Inside!$A131),Данные!M117)</f>
        <v>0</v>
      </c>
      <c r="P105" s="351">
        <f>IF($C105=-1,Данные!N117/(1+Inside!$A131),Данные!N117)</f>
        <v>0</v>
      </c>
      <c r="Q105" s="351">
        <f>IF($C105=-1,Данные!O117/(1+Inside!$A131),Данные!O117)</f>
        <v>0</v>
      </c>
    </row>
    <row r="106" spans="1:17" s="306" customFormat="1" ht="10.5">
      <c r="A106" s="373" t="s">
        <v>95</v>
      </c>
      <c r="B106" s="373" t="s">
        <v>232</v>
      </c>
      <c r="D106" s="307" t="s">
        <v>180</v>
      </c>
      <c r="E106" s="374">
        <f ca="1">SUM(E102:OFFSET(E102,ASS_COUNT_5-1,0))</f>
        <v>0</v>
      </c>
      <c r="F106" s="374">
        <f ca="1">SUM(F102:OFFSET(F102,ASS_COUNT_5-1,0))</f>
        <v>250000</v>
      </c>
      <c r="G106" s="374">
        <f ca="1">SUM(G102:OFFSET(G102,ASS_COUNT_5-1,0))</f>
        <v>0</v>
      </c>
      <c r="H106" s="374">
        <f ca="1">SUM(H102:OFFSET(H102,ASS_COUNT_5-1,0))</f>
        <v>0</v>
      </c>
      <c r="I106" s="374">
        <f ca="1">SUM(I102:OFFSET(I102,ASS_COUNT_5-1,0))</f>
        <v>0</v>
      </c>
      <c r="J106" s="374">
        <f ca="1">SUM(J102:OFFSET(J102,ASS_COUNT_5-1,0))</f>
        <v>0</v>
      </c>
      <c r="K106" s="374">
        <f ca="1">SUM(K102:OFFSET(K102,ASS_COUNT_5-1,0))</f>
        <v>0</v>
      </c>
      <c r="L106" s="374">
        <f ca="1">SUM(L102:OFFSET(L102,ASS_COUNT_5-1,0))</f>
        <v>0</v>
      </c>
      <c r="M106" s="374">
        <f ca="1">SUM(M102:OFFSET(M102,ASS_COUNT_5-1,0))</f>
        <v>0</v>
      </c>
      <c r="N106" s="374">
        <f ca="1">SUM(N102:OFFSET(N102,ASS_COUNT_5-1,0))</f>
        <v>0</v>
      </c>
      <c r="O106" s="374">
        <f ca="1">SUM(O102:OFFSET(O102,ASS_COUNT_5-1,0))</f>
        <v>0</v>
      </c>
      <c r="P106" s="374">
        <f ca="1">SUM(P102:OFFSET(P102,ASS_COUNT_5-1,0))</f>
        <v>0</v>
      </c>
      <c r="Q106" s="374">
        <f ca="1">SUM(Q102:OFFSET(Q102,ASS_COUNT_5-1,0))</f>
        <v>0</v>
      </c>
    </row>
    <row r="107" spans="1:5" s="298" customFormat="1" ht="10.5">
      <c r="A107" s="298" t="s">
        <v>227</v>
      </c>
      <c r="D107" s="299"/>
      <c r="E107" s="298" t="s">
        <v>236</v>
      </c>
    </row>
    <row r="108" spans="1:17" ht="10.5">
      <c r="A108" s="228">
        <f>IF(A82&lt;0,VAT,A82)</f>
        <v>0</v>
      </c>
      <c r="B108" s="372">
        <f>IF(B82&lt;0,Данные!$B$35*PERIOD_LEN/12,B82*PERIOD_LEN/12)</f>
        <v>0.0016666666666666668</v>
      </c>
      <c r="C108" s="228"/>
      <c r="D108" s="297"/>
      <c r="E108" s="351">
        <f>Данные!C98-E82</f>
        <v>0</v>
      </c>
      <c r="F108" s="351">
        <f>Данные!D98-F82</f>
        <v>0</v>
      </c>
      <c r="G108" s="351">
        <f>Данные!E98-G82</f>
        <v>0</v>
      </c>
      <c r="H108" s="351">
        <f>Данные!F98-H82</f>
        <v>0</v>
      </c>
      <c r="I108" s="351">
        <f>Данные!G98-I82</f>
        <v>0</v>
      </c>
      <c r="J108" s="351">
        <f>Данные!H98-J82</f>
        <v>0</v>
      </c>
      <c r="K108" s="351">
        <f>Данные!I98-K82</f>
        <v>0</v>
      </c>
      <c r="L108" s="351">
        <f>Данные!J98-L82</f>
        <v>0</v>
      </c>
      <c r="M108" s="351">
        <f>Данные!K98-M82</f>
        <v>0</v>
      </c>
      <c r="N108" s="351">
        <f>Данные!L98-N82</f>
        <v>0</v>
      </c>
      <c r="O108" s="351">
        <f>Данные!M98-O82</f>
        <v>0</v>
      </c>
      <c r="P108" s="351">
        <f>Данные!N98-P82</f>
        <v>0</v>
      </c>
      <c r="Q108" s="351">
        <f>Данные!O98-Q82</f>
        <v>0</v>
      </c>
    </row>
    <row r="109" spans="4:17" s="228" customFormat="1" ht="10.5">
      <c r="D109" s="297" t="s">
        <v>180</v>
      </c>
      <c r="E109" s="350">
        <f ca="1">SUM(E108:OFFSET(E108,ASS_COUNT_1-1,0))</f>
        <v>0</v>
      </c>
      <c r="F109" s="350">
        <f ca="1">SUM(F108:OFFSET(F108,ASS_COUNT_1-1,0))</f>
        <v>0</v>
      </c>
      <c r="G109" s="350">
        <f ca="1">SUM(G108:OFFSET(G108,ASS_COUNT_1-1,0))</f>
        <v>0</v>
      </c>
      <c r="H109" s="350">
        <f ca="1">SUM(H108:OFFSET(H108,ASS_COUNT_1-1,0))</f>
        <v>0</v>
      </c>
      <c r="I109" s="350">
        <f ca="1">SUM(I108:OFFSET(I108,ASS_COUNT_1-1,0))</f>
        <v>0</v>
      </c>
      <c r="J109" s="350">
        <f ca="1">SUM(J108:OFFSET(J108,ASS_COUNT_1-1,0))</f>
        <v>0</v>
      </c>
      <c r="K109" s="350">
        <f ca="1">SUM(K108:OFFSET(K108,ASS_COUNT_1-1,0))</f>
        <v>0</v>
      </c>
      <c r="L109" s="350">
        <f ca="1">SUM(L108:OFFSET(L108,ASS_COUNT_1-1,0))</f>
        <v>0</v>
      </c>
      <c r="M109" s="350">
        <f ca="1">SUM(M108:OFFSET(M108,ASS_COUNT_1-1,0))</f>
        <v>0</v>
      </c>
      <c r="N109" s="350">
        <f ca="1">SUM(N108:OFFSET(N108,ASS_COUNT_1-1,0))</f>
        <v>0</v>
      </c>
      <c r="O109" s="350">
        <f ca="1">SUM(O108:OFFSET(O108,ASS_COUNT_1-1,0))</f>
        <v>0</v>
      </c>
      <c r="P109" s="350">
        <f ca="1">SUM(P108:OFFSET(P108,ASS_COUNT_1-1,0))</f>
        <v>0</v>
      </c>
      <c r="Q109" s="350">
        <f ca="1">SUM(Q108:OFFSET(Q108,ASS_COUNT_1-1,0))</f>
        <v>0</v>
      </c>
    </row>
    <row r="110" spans="1:5" s="298" customFormat="1" ht="10.5">
      <c r="A110" s="298" t="s">
        <v>228</v>
      </c>
      <c r="D110" s="299"/>
      <c r="E110" s="298" t="s">
        <v>236</v>
      </c>
    </row>
    <row r="111" spans="1:17" ht="10.5">
      <c r="A111" s="228">
        <f>IF(A85&lt;0,VAT,A85)</f>
        <v>0</v>
      </c>
      <c r="B111" s="372">
        <f>IF(B85&lt;0,Данные!$B$36*PERIOD_LEN/12,B85*PERIOD_LEN/12)</f>
        <v>0.016666666666666666</v>
      </c>
      <c r="C111" s="228"/>
      <c r="D111" s="297"/>
      <c r="E111" s="351">
        <f>Данные!C100-E85</f>
        <v>0</v>
      </c>
      <c r="F111" s="351">
        <f>Данные!D100-F85</f>
        <v>0</v>
      </c>
      <c r="G111" s="351">
        <f>Данные!E100-G85</f>
        <v>0</v>
      </c>
      <c r="H111" s="351">
        <f>Данные!F100-H85</f>
        <v>0</v>
      </c>
      <c r="I111" s="351">
        <f>Данные!G100-I85</f>
        <v>0</v>
      </c>
      <c r="J111" s="351">
        <f>Данные!H100-J85</f>
        <v>0</v>
      </c>
      <c r="K111" s="351">
        <f>Данные!I100-K85</f>
        <v>0</v>
      </c>
      <c r="L111" s="351">
        <f>Данные!J100-L85</f>
        <v>0</v>
      </c>
      <c r="M111" s="351">
        <f>Данные!K100-M85</f>
        <v>0</v>
      </c>
      <c r="N111" s="351">
        <f>Данные!L100-N85</f>
        <v>0</v>
      </c>
      <c r="O111" s="351">
        <f>Данные!M100-O85</f>
        <v>0</v>
      </c>
      <c r="P111" s="351">
        <f>Данные!N100-P85</f>
        <v>0</v>
      </c>
      <c r="Q111" s="351">
        <f>Данные!O100-Q85</f>
        <v>0</v>
      </c>
    </row>
    <row r="112" spans="1:17" ht="10.5">
      <c r="A112" s="228">
        <f>IF(A86&lt;0,VAT,A86)</f>
        <v>0</v>
      </c>
      <c r="B112" s="372">
        <f>IF(B86&lt;0,Данные!$B$36*PERIOD_LEN/12,B86*PERIOD_LEN/12)</f>
        <v>0.016666666666666666</v>
      </c>
      <c r="C112" s="228"/>
      <c r="D112" s="297"/>
      <c r="E112" s="351">
        <f>Данные!C101-E86</f>
        <v>0</v>
      </c>
      <c r="F112" s="351">
        <f>Данные!D101-F86</f>
        <v>0</v>
      </c>
      <c r="G112" s="351">
        <f>Данные!E101-G86</f>
        <v>0</v>
      </c>
      <c r="H112" s="351">
        <f>Данные!F101-H86</f>
        <v>0</v>
      </c>
      <c r="I112" s="351">
        <f>Данные!G101-I86</f>
        <v>0</v>
      </c>
      <c r="J112" s="351">
        <f>Данные!H101-J86</f>
        <v>0</v>
      </c>
      <c r="K112" s="351">
        <f>Данные!I101-K86</f>
        <v>0</v>
      </c>
      <c r="L112" s="351">
        <f>Данные!J101-L86</f>
        <v>0</v>
      </c>
      <c r="M112" s="351">
        <f>Данные!K101-M86</f>
        <v>0</v>
      </c>
      <c r="N112" s="351">
        <f>Данные!L101-N86</f>
        <v>0</v>
      </c>
      <c r="O112" s="351">
        <f>Данные!M101-O86</f>
        <v>0</v>
      </c>
      <c r="P112" s="351">
        <f>Данные!N101-P86</f>
        <v>0</v>
      </c>
      <c r="Q112" s="351">
        <f>Данные!O101-Q86</f>
        <v>0</v>
      </c>
    </row>
    <row r="113" spans="1:17" ht="10.5">
      <c r="A113" s="228">
        <f>IF(A87&lt;0,VAT,A87)</f>
        <v>0</v>
      </c>
      <c r="B113" s="372">
        <f>IF(B87&lt;0,Данные!$B$36*PERIOD_LEN/12,B87*PERIOD_LEN/12)</f>
        <v>0.016666666666666666</v>
      </c>
      <c r="C113" s="228"/>
      <c r="D113" s="297"/>
      <c r="E113" s="351">
        <f>Данные!C102-E87</f>
        <v>0</v>
      </c>
      <c r="F113" s="351">
        <f>Данные!D102-F87</f>
        <v>0</v>
      </c>
      <c r="G113" s="351">
        <f>Данные!E102-G87</f>
        <v>0</v>
      </c>
      <c r="H113" s="351">
        <f>Данные!F102-H87</f>
        <v>0</v>
      </c>
      <c r="I113" s="351">
        <f>Данные!G102-I87</f>
        <v>0</v>
      </c>
      <c r="J113" s="351">
        <f>Данные!H102-J87</f>
        <v>0</v>
      </c>
      <c r="K113" s="351">
        <f>Данные!I102-K87</f>
        <v>0</v>
      </c>
      <c r="L113" s="351">
        <f>Данные!J102-L87</f>
        <v>0</v>
      </c>
      <c r="M113" s="351">
        <f>Данные!K102-M87</f>
        <v>0</v>
      </c>
      <c r="N113" s="351">
        <f>Данные!L102-N87</f>
        <v>0</v>
      </c>
      <c r="O113" s="351">
        <f>Данные!M102-O87</f>
        <v>0</v>
      </c>
      <c r="P113" s="351">
        <f>Данные!N102-P87</f>
        <v>0</v>
      </c>
      <c r="Q113" s="351">
        <f>Данные!O102-Q87</f>
        <v>0</v>
      </c>
    </row>
    <row r="114" spans="1:17" ht="10.5">
      <c r="A114" s="228">
        <f>IF(A88&lt;0,VAT,A88)</f>
        <v>0</v>
      </c>
      <c r="B114" s="372">
        <f>IF(B88&lt;0,Данные!$B$36*PERIOD_LEN/12,B88*PERIOD_LEN/12)</f>
        <v>0.016666666666666666</v>
      </c>
      <c r="C114" s="228"/>
      <c r="D114" s="297"/>
      <c r="E114" s="351">
        <f>Данные!C103-E88</f>
        <v>0</v>
      </c>
      <c r="F114" s="351">
        <f>Данные!D103-F88</f>
        <v>0</v>
      </c>
      <c r="G114" s="351">
        <f>Данные!E103-G88</f>
        <v>0</v>
      </c>
      <c r="H114" s="351">
        <f>Данные!F103-H88</f>
        <v>0</v>
      </c>
      <c r="I114" s="351">
        <f>Данные!G103-I88</f>
        <v>0</v>
      </c>
      <c r="J114" s="351">
        <f>Данные!H103-J88</f>
        <v>0</v>
      </c>
      <c r="K114" s="351">
        <f>Данные!I103-K88</f>
        <v>0</v>
      </c>
      <c r="L114" s="351">
        <f>Данные!J103-L88</f>
        <v>0</v>
      </c>
      <c r="M114" s="351">
        <f>Данные!K103-M88</f>
        <v>0</v>
      </c>
      <c r="N114" s="351">
        <f>Данные!L103-N88</f>
        <v>0</v>
      </c>
      <c r="O114" s="351">
        <f>Данные!M103-O88</f>
        <v>0</v>
      </c>
      <c r="P114" s="351">
        <f>Данные!N103-P88</f>
        <v>0</v>
      </c>
      <c r="Q114" s="351">
        <f>Данные!O103-Q88</f>
        <v>0</v>
      </c>
    </row>
    <row r="115" spans="4:17" s="228" customFormat="1" ht="10.5">
      <c r="D115" s="297" t="s">
        <v>180</v>
      </c>
      <c r="E115" s="350">
        <f ca="1">SUM(E111:OFFSET(E111,ASS_COUNT_2-1,0))</f>
        <v>0</v>
      </c>
      <c r="F115" s="350">
        <f ca="1">SUM(F111:OFFSET(F111,ASS_COUNT_2-1,0))</f>
        <v>0</v>
      </c>
      <c r="G115" s="350">
        <f ca="1">SUM(G111:OFFSET(G111,ASS_COUNT_2-1,0))</f>
        <v>0</v>
      </c>
      <c r="H115" s="350">
        <f ca="1">SUM(H111:OFFSET(H111,ASS_COUNT_2-1,0))</f>
        <v>0</v>
      </c>
      <c r="I115" s="350">
        <f ca="1">SUM(I111:OFFSET(I111,ASS_COUNT_2-1,0))</f>
        <v>0</v>
      </c>
      <c r="J115" s="350">
        <f ca="1">SUM(J111:OFFSET(J111,ASS_COUNT_2-1,0))</f>
        <v>0</v>
      </c>
      <c r="K115" s="350">
        <f ca="1">SUM(K111:OFFSET(K111,ASS_COUNT_2-1,0))</f>
        <v>0</v>
      </c>
      <c r="L115" s="350">
        <f ca="1">SUM(L111:OFFSET(L111,ASS_COUNT_2-1,0))</f>
        <v>0</v>
      </c>
      <c r="M115" s="350">
        <f ca="1">SUM(M111:OFFSET(M111,ASS_COUNT_2-1,0))</f>
        <v>0</v>
      </c>
      <c r="N115" s="350">
        <f ca="1">SUM(N111:OFFSET(N111,ASS_COUNT_2-1,0))</f>
        <v>0</v>
      </c>
      <c r="O115" s="350">
        <f ca="1">SUM(O111:OFFSET(O111,ASS_COUNT_2-1,0))</f>
        <v>0</v>
      </c>
      <c r="P115" s="350">
        <f ca="1">SUM(P111:OFFSET(P111,ASS_COUNT_2-1,0))</f>
        <v>0</v>
      </c>
      <c r="Q115" s="350">
        <f ca="1">SUM(Q111:OFFSET(Q111,ASS_COUNT_2-1,0))</f>
        <v>0</v>
      </c>
    </row>
    <row r="116" spans="1:5" s="298" customFormat="1" ht="10.5">
      <c r="A116" s="298" t="s">
        <v>229</v>
      </c>
      <c r="D116" s="299"/>
      <c r="E116" s="298" t="s">
        <v>236</v>
      </c>
    </row>
    <row r="117" spans="1:17" ht="10.5">
      <c r="A117" s="228">
        <f>IF(A91&lt;0,VAT,A91)</f>
        <v>0</v>
      </c>
      <c r="B117" s="372">
        <f>IF(B91&lt;0,Данные!$B$37*PERIOD_LEN/12,B91*PERIOD_LEN/12)</f>
        <v>0.012499999999999999</v>
      </c>
      <c r="C117" s="228"/>
      <c r="D117" s="297"/>
      <c r="E117" s="351">
        <f>Данные!C105-E91</f>
        <v>0</v>
      </c>
      <c r="F117" s="351">
        <f>Данные!D105-F91</f>
        <v>0</v>
      </c>
      <c r="G117" s="351">
        <f>Данные!E105-G91</f>
        <v>0</v>
      </c>
      <c r="H117" s="351">
        <f>Данные!F105-H91</f>
        <v>0</v>
      </c>
      <c r="I117" s="351">
        <f>Данные!G105-I91</f>
        <v>0</v>
      </c>
      <c r="J117" s="351">
        <f>Данные!H105-J91</f>
        <v>0</v>
      </c>
      <c r="K117" s="351">
        <f>Данные!I105-K91</f>
        <v>0</v>
      </c>
      <c r="L117" s="351">
        <f>Данные!J105-L91</f>
        <v>0</v>
      </c>
      <c r="M117" s="351">
        <f>Данные!K105-M91</f>
        <v>0</v>
      </c>
      <c r="N117" s="351">
        <f>Данные!L105-N91</f>
        <v>0</v>
      </c>
      <c r="O117" s="351">
        <f>Данные!M105-O91</f>
        <v>0</v>
      </c>
      <c r="P117" s="351">
        <f>Данные!N105-P91</f>
        <v>0</v>
      </c>
      <c r="Q117" s="351">
        <f>Данные!O105-Q91</f>
        <v>0</v>
      </c>
    </row>
    <row r="118" spans="1:17" ht="10.5">
      <c r="A118" s="228">
        <f>IF(A92&lt;0,VAT,A92)</f>
        <v>0</v>
      </c>
      <c r="B118" s="372">
        <f>IF(B92&lt;0,Данные!$B$37*PERIOD_LEN/12,B92*PERIOD_LEN/12)</f>
        <v>0.012499999999999999</v>
      </c>
      <c r="C118" s="228"/>
      <c r="D118" s="297"/>
      <c r="E118" s="351">
        <f>Данные!C106-E92</f>
        <v>0</v>
      </c>
      <c r="F118" s="351">
        <f>Данные!D106-F92</f>
        <v>0</v>
      </c>
      <c r="G118" s="351">
        <f>Данные!E106-G92</f>
        <v>0</v>
      </c>
      <c r="H118" s="351">
        <f>Данные!F106-H92</f>
        <v>0</v>
      </c>
      <c r="I118" s="351">
        <f>Данные!G106-I92</f>
        <v>0</v>
      </c>
      <c r="J118" s="351">
        <f>Данные!H106-J92</f>
        <v>0</v>
      </c>
      <c r="K118" s="351">
        <f>Данные!I106-K92</f>
        <v>0</v>
      </c>
      <c r="L118" s="351">
        <f>Данные!J106-L92</f>
        <v>0</v>
      </c>
      <c r="M118" s="351">
        <f>Данные!K106-M92</f>
        <v>0</v>
      </c>
      <c r="N118" s="351">
        <f>Данные!L106-N92</f>
        <v>0</v>
      </c>
      <c r="O118" s="351">
        <f>Данные!M106-O92</f>
        <v>0</v>
      </c>
      <c r="P118" s="351">
        <f>Данные!N106-P92</f>
        <v>0</v>
      </c>
      <c r="Q118" s="351">
        <f>Данные!O106-Q92</f>
        <v>0</v>
      </c>
    </row>
    <row r="119" spans="4:17" s="228" customFormat="1" ht="10.5">
      <c r="D119" s="297" t="s">
        <v>180</v>
      </c>
      <c r="E119" s="350">
        <f ca="1">SUM(E117:OFFSET(E117,ASS_COUNT_3-1,0))</f>
        <v>0</v>
      </c>
      <c r="F119" s="350">
        <f ca="1">SUM(F117:OFFSET(F117,ASS_COUNT_3-1,0))</f>
        <v>0</v>
      </c>
      <c r="G119" s="350">
        <f ca="1">SUM(G117:OFFSET(G117,ASS_COUNT_3-1,0))</f>
        <v>0</v>
      </c>
      <c r="H119" s="350">
        <f ca="1">SUM(H117:OFFSET(H117,ASS_COUNT_3-1,0))</f>
        <v>0</v>
      </c>
      <c r="I119" s="350">
        <f ca="1">SUM(I117:OFFSET(I117,ASS_COUNT_3-1,0))</f>
        <v>0</v>
      </c>
      <c r="J119" s="350">
        <f ca="1">SUM(J117:OFFSET(J117,ASS_COUNT_3-1,0))</f>
        <v>0</v>
      </c>
      <c r="K119" s="350">
        <f ca="1">SUM(K117:OFFSET(K117,ASS_COUNT_3-1,0))</f>
        <v>0</v>
      </c>
      <c r="L119" s="350">
        <f ca="1">SUM(L117:OFFSET(L117,ASS_COUNT_3-1,0))</f>
        <v>0</v>
      </c>
      <c r="M119" s="350">
        <f ca="1">SUM(M117:OFFSET(M117,ASS_COUNT_3-1,0))</f>
        <v>0</v>
      </c>
      <c r="N119" s="350">
        <f ca="1">SUM(N117:OFFSET(N117,ASS_COUNT_3-1,0))</f>
        <v>0</v>
      </c>
      <c r="O119" s="350">
        <f ca="1">SUM(O117:OFFSET(O117,ASS_COUNT_3-1,0))</f>
        <v>0</v>
      </c>
      <c r="P119" s="350">
        <f ca="1">SUM(P117:OFFSET(P117,ASS_COUNT_3-1,0))</f>
        <v>0</v>
      </c>
      <c r="Q119" s="350">
        <f ca="1">SUM(Q117:OFFSET(Q117,ASS_COUNT_3-1,0))</f>
        <v>0</v>
      </c>
    </row>
    <row r="120" spans="1:5" s="298" customFormat="1" ht="10.5">
      <c r="A120" s="298" t="s">
        <v>230</v>
      </c>
      <c r="D120" s="299"/>
      <c r="E120" s="298" t="s">
        <v>236</v>
      </c>
    </row>
    <row r="121" spans="1:17" ht="10.5">
      <c r="A121" s="228">
        <f>IF(A95&lt;0,VAT,A95)</f>
        <v>0</v>
      </c>
      <c r="B121" s="372">
        <f>IF(B95&lt;0,Данные!$B$38*PERIOD_LEN/12,B95*PERIOD_LEN/12)</f>
        <v>0.027774999999999998</v>
      </c>
      <c r="C121" s="228"/>
      <c r="D121" s="297"/>
      <c r="E121" s="351">
        <f>Данные!C108-E95</f>
        <v>0</v>
      </c>
      <c r="F121" s="351">
        <f>Данные!D108-F95</f>
        <v>0</v>
      </c>
      <c r="G121" s="351">
        <f>Данные!E108-G95</f>
        <v>0</v>
      </c>
      <c r="H121" s="351">
        <f>Данные!F108-H95</f>
        <v>0</v>
      </c>
      <c r="I121" s="351">
        <f>Данные!G108-I95</f>
        <v>0</v>
      </c>
      <c r="J121" s="351">
        <f>Данные!H108-J95</f>
        <v>0</v>
      </c>
      <c r="K121" s="351">
        <f>Данные!I108-K95</f>
        <v>0</v>
      </c>
      <c r="L121" s="351">
        <f>Данные!J108-L95</f>
        <v>0</v>
      </c>
      <c r="M121" s="351">
        <f>Данные!K108-M95</f>
        <v>0</v>
      </c>
      <c r="N121" s="351">
        <f>Данные!L108-N95</f>
        <v>0</v>
      </c>
      <c r="O121" s="351">
        <f>Данные!M108-O95</f>
        <v>0</v>
      </c>
      <c r="P121" s="351">
        <f>Данные!N108-P95</f>
        <v>0</v>
      </c>
      <c r="Q121" s="351">
        <f>Данные!O108-Q95</f>
        <v>0</v>
      </c>
    </row>
    <row r="122" spans="1:17" ht="10.5">
      <c r="A122" s="228">
        <f>IF(A96&lt;0,VAT,A96)</f>
        <v>0</v>
      </c>
      <c r="B122" s="372">
        <f>IF(B96&lt;0,Данные!$B$38*PERIOD_LEN/12,B96*PERIOD_LEN/12)</f>
        <v>0.027774999999999998</v>
      </c>
      <c r="C122" s="228"/>
      <c r="D122" s="297"/>
      <c r="E122" s="351">
        <f>Данные!C109-E96</f>
        <v>0</v>
      </c>
      <c r="F122" s="351">
        <f>Данные!D109-F96</f>
        <v>0</v>
      </c>
      <c r="G122" s="351">
        <f>Данные!E109-G96</f>
        <v>0</v>
      </c>
      <c r="H122" s="351">
        <f>Данные!F109-H96</f>
        <v>0</v>
      </c>
      <c r="I122" s="351">
        <f>Данные!G109-I96</f>
        <v>0</v>
      </c>
      <c r="J122" s="351">
        <f>Данные!H109-J96</f>
        <v>0</v>
      </c>
      <c r="K122" s="351">
        <f>Данные!I109-K96</f>
        <v>0</v>
      </c>
      <c r="L122" s="351">
        <f>Данные!J109-L96</f>
        <v>0</v>
      </c>
      <c r="M122" s="351">
        <f>Данные!K109-M96</f>
        <v>0</v>
      </c>
      <c r="N122" s="351">
        <f>Данные!L109-N96</f>
        <v>0</v>
      </c>
      <c r="O122" s="351">
        <f>Данные!M109-O96</f>
        <v>0</v>
      </c>
      <c r="P122" s="351">
        <f>Данные!N109-P96</f>
        <v>0</v>
      </c>
      <c r="Q122" s="351">
        <f>Данные!O109-Q96</f>
        <v>0</v>
      </c>
    </row>
    <row r="123" spans="1:17" ht="10.5">
      <c r="A123" s="228">
        <f>IF(A97&lt;0,VAT,A97)</f>
        <v>0</v>
      </c>
      <c r="B123" s="372">
        <f>IF(B97&lt;0,Данные!$B$38*PERIOD_LEN/12,B97*PERIOD_LEN/12)</f>
        <v>0.027774999999999998</v>
      </c>
      <c r="C123" s="228"/>
      <c r="D123" s="297"/>
      <c r="E123" s="351">
        <f>Данные!C110-E97</f>
        <v>0</v>
      </c>
      <c r="F123" s="351">
        <f>Данные!D110-F97</f>
        <v>0</v>
      </c>
      <c r="G123" s="351">
        <f>Данные!E110-G97</f>
        <v>0</v>
      </c>
      <c r="H123" s="351">
        <f>Данные!F110-H97</f>
        <v>0</v>
      </c>
      <c r="I123" s="351">
        <f>Данные!G110-I97</f>
        <v>0</v>
      </c>
      <c r="J123" s="351">
        <f>Данные!H110-J97</f>
        <v>0</v>
      </c>
      <c r="K123" s="351">
        <f>Данные!I110-K97</f>
        <v>0</v>
      </c>
      <c r="L123" s="351">
        <f>Данные!J110-L97</f>
        <v>0</v>
      </c>
      <c r="M123" s="351">
        <f>Данные!K110-M97</f>
        <v>0</v>
      </c>
      <c r="N123" s="351">
        <f>Данные!L110-N97</f>
        <v>0</v>
      </c>
      <c r="O123" s="351">
        <f>Данные!M110-O97</f>
        <v>0</v>
      </c>
      <c r="P123" s="351">
        <f>Данные!N110-P97</f>
        <v>0</v>
      </c>
      <c r="Q123" s="351">
        <f>Данные!O110-Q97</f>
        <v>0</v>
      </c>
    </row>
    <row r="124" spans="1:17" ht="10.5">
      <c r="A124" s="228">
        <f>IF(A98&lt;0,VAT,A98)</f>
        <v>0</v>
      </c>
      <c r="B124" s="372">
        <f>IF(B98&lt;0,Данные!$B$38*PERIOD_LEN/12,B98*PERIOD_LEN/12)</f>
        <v>0.027774999999999998</v>
      </c>
      <c r="C124" s="228"/>
      <c r="D124" s="297"/>
      <c r="E124" s="351">
        <f>Данные!C111-E98</f>
        <v>0</v>
      </c>
      <c r="F124" s="351">
        <f>Данные!D111-F98</f>
        <v>0</v>
      </c>
      <c r="G124" s="351">
        <f>Данные!E111-G98</f>
        <v>0</v>
      </c>
      <c r="H124" s="351">
        <f>Данные!F111-H98</f>
        <v>0</v>
      </c>
      <c r="I124" s="351">
        <f>Данные!G111-I98</f>
        <v>0</v>
      </c>
      <c r="J124" s="351">
        <f>Данные!H111-J98</f>
        <v>0</v>
      </c>
      <c r="K124" s="351">
        <f>Данные!I111-K98</f>
        <v>0</v>
      </c>
      <c r="L124" s="351">
        <f>Данные!J111-L98</f>
        <v>0</v>
      </c>
      <c r="M124" s="351">
        <f>Данные!K111-M98</f>
        <v>0</v>
      </c>
      <c r="N124" s="351">
        <f>Данные!L111-N98</f>
        <v>0</v>
      </c>
      <c r="O124" s="351">
        <f>Данные!M111-O98</f>
        <v>0</v>
      </c>
      <c r="P124" s="351">
        <f>Данные!N111-P98</f>
        <v>0</v>
      </c>
      <c r="Q124" s="351">
        <f>Данные!O111-Q98</f>
        <v>0</v>
      </c>
    </row>
    <row r="125" spans="1:17" ht="10.5">
      <c r="A125" s="228">
        <f>IF(A99&lt;0,VAT,A99)</f>
        <v>0</v>
      </c>
      <c r="B125" s="372">
        <f>IF(B99&lt;0,Данные!$B$38*PERIOD_LEN/12,B99*PERIOD_LEN/12)</f>
        <v>0.027774999999999998</v>
      </c>
      <c r="C125" s="228"/>
      <c r="D125" s="297"/>
      <c r="E125" s="351">
        <f>Данные!C112-E99</f>
        <v>0</v>
      </c>
      <c r="F125" s="351">
        <f>Данные!D112-F99</f>
        <v>0</v>
      </c>
      <c r="G125" s="351">
        <f>Данные!E112-G99</f>
        <v>0</v>
      </c>
      <c r="H125" s="351">
        <f>Данные!F112-H99</f>
        <v>0</v>
      </c>
      <c r="I125" s="351">
        <f>Данные!G112-I99</f>
        <v>0</v>
      </c>
      <c r="J125" s="351">
        <f>Данные!H112-J99</f>
        <v>0</v>
      </c>
      <c r="K125" s="351">
        <f>Данные!I112-K99</f>
        <v>0</v>
      </c>
      <c r="L125" s="351">
        <f>Данные!J112-L99</f>
        <v>0</v>
      </c>
      <c r="M125" s="351">
        <f>Данные!K112-M99</f>
        <v>0</v>
      </c>
      <c r="N125" s="351">
        <f>Данные!L112-N99</f>
        <v>0</v>
      </c>
      <c r="O125" s="351">
        <f>Данные!M112-O99</f>
        <v>0</v>
      </c>
      <c r="P125" s="351">
        <f>Данные!N112-P99</f>
        <v>0</v>
      </c>
      <c r="Q125" s="351">
        <f>Данные!O112-Q99</f>
        <v>0</v>
      </c>
    </row>
    <row r="126" spans="4:17" s="228" customFormat="1" ht="10.5">
      <c r="D126" s="297" t="s">
        <v>180</v>
      </c>
      <c r="E126" s="350">
        <f ca="1">SUM(E121:OFFSET(E121,ASS_COUNT_4-1,0))</f>
        <v>0</v>
      </c>
      <c r="F126" s="350">
        <f ca="1">SUM(F121:OFFSET(F121,ASS_COUNT_4-1,0))</f>
        <v>0</v>
      </c>
      <c r="G126" s="350">
        <f ca="1">SUM(G121:OFFSET(G121,ASS_COUNT_4-1,0))</f>
        <v>0</v>
      </c>
      <c r="H126" s="350">
        <f ca="1">SUM(H121:OFFSET(H121,ASS_COUNT_4-1,0))</f>
        <v>0</v>
      </c>
      <c r="I126" s="350">
        <f ca="1">SUM(I121:OFFSET(I121,ASS_COUNT_4-1,0))</f>
        <v>0</v>
      </c>
      <c r="J126" s="350">
        <f ca="1">SUM(J121:OFFSET(J121,ASS_COUNT_4-1,0))</f>
        <v>0</v>
      </c>
      <c r="K126" s="350">
        <f ca="1">SUM(K121:OFFSET(K121,ASS_COUNT_4-1,0))</f>
        <v>0</v>
      </c>
      <c r="L126" s="350">
        <f ca="1">SUM(L121:OFFSET(L121,ASS_COUNT_4-1,0))</f>
        <v>0</v>
      </c>
      <c r="M126" s="350">
        <f ca="1">SUM(M121:OFFSET(M121,ASS_COUNT_4-1,0))</f>
        <v>0</v>
      </c>
      <c r="N126" s="350">
        <f ca="1">SUM(N121:OFFSET(N121,ASS_COUNT_4-1,0))</f>
        <v>0</v>
      </c>
      <c r="O126" s="350">
        <f ca="1">SUM(O121:OFFSET(O121,ASS_COUNT_4-1,0))</f>
        <v>0</v>
      </c>
      <c r="P126" s="350">
        <f ca="1">SUM(P121:OFFSET(P121,ASS_COUNT_4-1,0))</f>
        <v>0</v>
      </c>
      <c r="Q126" s="350">
        <f ca="1">SUM(Q121:OFFSET(Q121,ASS_COUNT_4-1,0))</f>
        <v>0</v>
      </c>
    </row>
    <row r="127" spans="1:5" s="298" customFormat="1" ht="10.5">
      <c r="A127" s="298" t="s">
        <v>231</v>
      </c>
      <c r="D127" s="299"/>
      <c r="E127" s="298" t="s">
        <v>236</v>
      </c>
    </row>
    <row r="128" spans="1:17" ht="10.5">
      <c r="A128" s="228">
        <f>IF(A102&lt;0,VAT,A102)</f>
        <v>0</v>
      </c>
      <c r="B128" s="372">
        <f>IF(B102&lt;0,Данные!$B$39*PERIOD_LEN/12,B102*PERIOD_LEN/12)</f>
        <v>0.016666666666666666</v>
      </c>
      <c r="C128" s="228"/>
      <c r="D128" s="297"/>
      <c r="E128" s="351">
        <f>Данные!C114-E102</f>
        <v>0</v>
      </c>
      <c r="F128" s="351">
        <f>Данные!D114-F102</f>
        <v>0</v>
      </c>
      <c r="G128" s="351">
        <f>Данные!E114-G102</f>
        <v>0</v>
      </c>
      <c r="H128" s="351">
        <f>Данные!F114-H102</f>
        <v>0</v>
      </c>
      <c r="I128" s="351">
        <f>Данные!G114-I102</f>
        <v>0</v>
      </c>
      <c r="J128" s="351">
        <f>Данные!H114-J102</f>
        <v>0</v>
      </c>
      <c r="K128" s="351">
        <f>Данные!I114-K102</f>
        <v>0</v>
      </c>
      <c r="L128" s="351">
        <f>Данные!J114-L102</f>
        <v>0</v>
      </c>
      <c r="M128" s="351">
        <f>Данные!K114-M102</f>
        <v>0</v>
      </c>
      <c r="N128" s="351">
        <f>Данные!L114-N102</f>
        <v>0</v>
      </c>
      <c r="O128" s="351">
        <f>Данные!M114-O102</f>
        <v>0</v>
      </c>
      <c r="P128" s="351">
        <f>Данные!N114-P102</f>
        <v>0</v>
      </c>
      <c r="Q128" s="351">
        <f>Данные!O114-Q102</f>
        <v>0</v>
      </c>
    </row>
    <row r="129" spans="1:17" ht="10.5">
      <c r="A129" s="228">
        <f>IF(A103&lt;0,VAT,A103)</f>
        <v>0</v>
      </c>
      <c r="B129" s="372">
        <f>IF(B103&lt;0,Данные!$B$39*PERIOD_LEN/12,B103*PERIOD_LEN/12)</f>
        <v>0.016666666666666666</v>
      </c>
      <c r="C129" s="228"/>
      <c r="D129" s="297"/>
      <c r="E129" s="351">
        <f>Данные!C115-E103</f>
        <v>0</v>
      </c>
      <c r="F129" s="351">
        <f>Данные!D115-F103</f>
        <v>0</v>
      </c>
      <c r="G129" s="351">
        <f>Данные!E115-G103</f>
        <v>0</v>
      </c>
      <c r="H129" s="351">
        <f>Данные!F115-H103</f>
        <v>0</v>
      </c>
      <c r="I129" s="351">
        <f>Данные!G115-I103</f>
        <v>0</v>
      </c>
      <c r="J129" s="351">
        <f>Данные!H115-J103</f>
        <v>0</v>
      </c>
      <c r="K129" s="351">
        <f>Данные!I115-K103</f>
        <v>0</v>
      </c>
      <c r="L129" s="351">
        <f>Данные!J115-L103</f>
        <v>0</v>
      </c>
      <c r="M129" s="351">
        <f>Данные!K115-M103</f>
        <v>0</v>
      </c>
      <c r="N129" s="351">
        <f>Данные!L115-N103</f>
        <v>0</v>
      </c>
      <c r="O129" s="351">
        <f>Данные!M115-O103</f>
        <v>0</v>
      </c>
      <c r="P129" s="351">
        <f>Данные!N115-P103</f>
        <v>0</v>
      </c>
      <c r="Q129" s="351">
        <f>Данные!O115-Q103</f>
        <v>0</v>
      </c>
    </row>
    <row r="130" spans="1:17" ht="10.5">
      <c r="A130" s="228">
        <f>IF(A104&lt;0,VAT,A104)</f>
        <v>0</v>
      </c>
      <c r="B130" s="372">
        <f>IF(B104&lt;0,Данные!$B$39*PERIOD_LEN/12,B104*PERIOD_LEN/12)</f>
        <v>0.016666666666666666</v>
      </c>
      <c r="C130" s="228"/>
      <c r="D130" s="297"/>
      <c r="E130" s="351">
        <f>Данные!C116-E104</f>
        <v>0</v>
      </c>
      <c r="F130" s="351">
        <f>Данные!D116-F104</f>
        <v>0</v>
      </c>
      <c r="G130" s="351">
        <f>Данные!E116-G104</f>
        <v>0</v>
      </c>
      <c r="H130" s="351">
        <f>Данные!F116-H104</f>
        <v>0</v>
      </c>
      <c r="I130" s="351">
        <f>Данные!G116-I104</f>
        <v>0</v>
      </c>
      <c r="J130" s="351">
        <f>Данные!H116-J104</f>
        <v>0</v>
      </c>
      <c r="K130" s="351">
        <f>Данные!I116-K104</f>
        <v>0</v>
      </c>
      <c r="L130" s="351">
        <f>Данные!J116-L104</f>
        <v>0</v>
      </c>
      <c r="M130" s="351">
        <f>Данные!K116-M104</f>
        <v>0</v>
      </c>
      <c r="N130" s="351">
        <f>Данные!L116-N104</f>
        <v>0</v>
      </c>
      <c r="O130" s="351">
        <f>Данные!M116-O104</f>
        <v>0</v>
      </c>
      <c r="P130" s="351">
        <f>Данные!N116-P104</f>
        <v>0</v>
      </c>
      <c r="Q130" s="351">
        <f>Данные!O116-Q104</f>
        <v>0</v>
      </c>
    </row>
    <row r="131" spans="1:17" ht="10.5">
      <c r="A131" s="228">
        <f>IF(A105&lt;0,VAT,A105)</f>
        <v>0</v>
      </c>
      <c r="B131" s="372">
        <f>IF(B105&lt;0,Данные!$B$39*PERIOD_LEN/12,B105*PERIOD_LEN/12)</f>
        <v>0.016666666666666666</v>
      </c>
      <c r="C131" s="228"/>
      <c r="D131" s="297"/>
      <c r="E131" s="351">
        <f>Данные!C117-E105</f>
        <v>0</v>
      </c>
      <c r="F131" s="351">
        <f>Данные!D117-F105</f>
        <v>0</v>
      </c>
      <c r="G131" s="351">
        <f>Данные!E117-G105</f>
        <v>0</v>
      </c>
      <c r="H131" s="351">
        <f>Данные!F117-H105</f>
        <v>0</v>
      </c>
      <c r="I131" s="351">
        <f>Данные!G117-I105</f>
        <v>0</v>
      </c>
      <c r="J131" s="351">
        <f>Данные!H117-J105</f>
        <v>0</v>
      </c>
      <c r="K131" s="351">
        <f>Данные!I117-K105</f>
        <v>0</v>
      </c>
      <c r="L131" s="351">
        <f>Данные!J117-L105</f>
        <v>0</v>
      </c>
      <c r="M131" s="351">
        <f>Данные!K117-M105</f>
        <v>0</v>
      </c>
      <c r="N131" s="351">
        <f>Данные!L117-N105</f>
        <v>0</v>
      </c>
      <c r="O131" s="351">
        <f>Данные!M117-O105</f>
        <v>0</v>
      </c>
      <c r="P131" s="351">
        <f>Данные!N117-P105</f>
        <v>0</v>
      </c>
      <c r="Q131" s="351">
        <f>Данные!O117-Q105</f>
        <v>0</v>
      </c>
    </row>
    <row r="132" spans="4:17" s="306" customFormat="1" ht="10.5">
      <c r="D132" s="307" t="s">
        <v>180</v>
      </c>
      <c r="E132" s="374">
        <f ca="1">SUM(E128:OFFSET(E128,ASS_COUNT_5-1,0))</f>
        <v>0</v>
      </c>
      <c r="F132" s="374">
        <f ca="1">SUM(F128:OFFSET(F128,ASS_COUNT_5-1,0))</f>
        <v>0</v>
      </c>
      <c r="G132" s="374">
        <f ca="1">SUM(G128:OFFSET(G128,ASS_COUNT_5-1,0))</f>
        <v>0</v>
      </c>
      <c r="H132" s="374">
        <f ca="1">SUM(H128:OFFSET(H128,ASS_COUNT_5-1,0))</f>
        <v>0</v>
      </c>
      <c r="I132" s="374">
        <f ca="1">SUM(I128:OFFSET(I128,ASS_COUNT_5-1,0))</f>
        <v>0</v>
      </c>
      <c r="J132" s="374">
        <f ca="1">SUM(J128:OFFSET(J128,ASS_COUNT_5-1,0))</f>
        <v>0</v>
      </c>
      <c r="K132" s="374">
        <f ca="1">SUM(K128:OFFSET(K128,ASS_COUNT_5-1,0))</f>
        <v>0</v>
      </c>
      <c r="L132" s="374">
        <f ca="1">SUM(L128:OFFSET(L128,ASS_COUNT_5-1,0))</f>
        <v>0</v>
      </c>
      <c r="M132" s="374">
        <f ca="1">SUM(M128:OFFSET(M128,ASS_COUNT_5-1,0))</f>
        <v>0</v>
      </c>
      <c r="N132" s="374">
        <f ca="1">SUM(N128:OFFSET(N128,ASS_COUNT_5-1,0))</f>
        <v>0</v>
      </c>
      <c r="O132" s="374">
        <f ca="1">SUM(O128:OFFSET(O128,ASS_COUNT_5-1,0))</f>
        <v>0</v>
      </c>
      <c r="P132" s="374">
        <f ca="1">SUM(P128:OFFSET(P128,ASS_COUNT_5-1,0))</f>
        <v>0</v>
      </c>
      <c r="Q132" s="374">
        <f ca="1">SUM(Q128:OFFSET(Q128,ASS_COUNT_5-1,0))</f>
        <v>0</v>
      </c>
    </row>
    <row r="133" spans="1:5" s="298" customFormat="1" ht="10.5">
      <c r="A133" s="298" t="s">
        <v>227</v>
      </c>
      <c r="D133" s="299"/>
      <c r="E133" s="298" t="s">
        <v>114</v>
      </c>
    </row>
    <row r="134" spans="1:17" ht="10.5">
      <c r="A134" s="228"/>
      <c r="B134" s="228"/>
      <c r="C134" s="228"/>
      <c r="D134" s="297"/>
      <c r="E134" s="351">
        <f>IF($D82&gt;COLUMN()-4,SUM($E82:E82),0)</f>
        <v>0</v>
      </c>
      <c r="F134" s="351">
        <f>IF($D82&gt;COLUMN()-4,SUM($E82:F82),0)</f>
        <v>0</v>
      </c>
      <c r="G134" s="351">
        <f>IF($D82&gt;COLUMN()-4,SUM($E82:G82),0)</f>
        <v>0</v>
      </c>
      <c r="H134" s="351">
        <f>IF($D82&gt;COLUMN()-4,SUM($E82:H82),0)</f>
        <v>0</v>
      </c>
      <c r="I134" s="351">
        <f>IF($D82&gt;COLUMN()-4,SUM($E82:I82),0)</f>
        <v>0</v>
      </c>
      <c r="J134" s="351">
        <f>IF($D82&gt;COLUMN()-4,SUM($E82:J82),0)</f>
        <v>0</v>
      </c>
      <c r="K134" s="351">
        <f>IF($D82&gt;COLUMN()-4,SUM($E82:K82),0)</f>
        <v>0</v>
      </c>
      <c r="L134" s="351">
        <f>IF($D82&gt;COLUMN()-4,SUM($E82:L82),0)</f>
        <v>0</v>
      </c>
      <c r="M134" s="351">
        <f>IF($D82&gt;COLUMN()-4,SUM($E82:M82),0)</f>
        <v>0</v>
      </c>
      <c r="N134" s="351">
        <f>IF($D82&gt;COLUMN()-4,SUM($E82:N82),0)</f>
        <v>0</v>
      </c>
      <c r="O134" s="351">
        <f>IF($D82&gt;COLUMN()-4,SUM($E82:O82),0)</f>
        <v>0</v>
      </c>
      <c r="P134" s="351">
        <f>IF($D82&gt;COLUMN()-4,SUM($E82:P82),0)</f>
        <v>0</v>
      </c>
      <c r="Q134" s="351">
        <f>IF($D82&gt;COLUMN()-4,SUM($E82:Q82),0)</f>
        <v>0</v>
      </c>
    </row>
    <row r="135" spans="4:17" s="228" customFormat="1" ht="10.5">
      <c r="D135" s="297" t="s">
        <v>180</v>
      </c>
      <c r="E135" s="350">
        <f ca="1">SUM(E134:OFFSET(E134,ASS_COUNT_1-1,0))</f>
        <v>0</v>
      </c>
      <c r="F135" s="350">
        <f ca="1">SUM(F134:OFFSET(F134,ASS_COUNT_1-1,0))</f>
        <v>0</v>
      </c>
      <c r="G135" s="350">
        <f ca="1">SUM(G134:OFFSET(G134,ASS_COUNT_1-1,0))</f>
        <v>0</v>
      </c>
      <c r="H135" s="350">
        <f ca="1">SUM(H134:OFFSET(H134,ASS_COUNT_1-1,0))</f>
        <v>0</v>
      </c>
      <c r="I135" s="350">
        <f ca="1">SUM(I134:OFFSET(I134,ASS_COUNT_1-1,0))</f>
        <v>0</v>
      </c>
      <c r="J135" s="350">
        <f ca="1">SUM(J134:OFFSET(J134,ASS_COUNT_1-1,0))</f>
        <v>0</v>
      </c>
      <c r="K135" s="350">
        <f ca="1">SUM(K134:OFFSET(K134,ASS_COUNT_1-1,0))</f>
        <v>0</v>
      </c>
      <c r="L135" s="350">
        <f ca="1">SUM(L134:OFFSET(L134,ASS_COUNT_1-1,0))</f>
        <v>0</v>
      </c>
      <c r="M135" s="350">
        <f ca="1">SUM(M134:OFFSET(M134,ASS_COUNT_1-1,0))</f>
        <v>0</v>
      </c>
      <c r="N135" s="350">
        <f ca="1">SUM(N134:OFFSET(N134,ASS_COUNT_1-1,0))</f>
        <v>0</v>
      </c>
      <c r="O135" s="350">
        <f ca="1">SUM(O134:OFFSET(O134,ASS_COUNT_1-1,0))</f>
        <v>0</v>
      </c>
      <c r="P135" s="350">
        <f ca="1">SUM(P134:OFFSET(P134,ASS_COUNT_1-1,0))</f>
        <v>0</v>
      </c>
      <c r="Q135" s="350">
        <f ca="1">SUM(Q134:OFFSET(Q134,ASS_COUNT_1-1,0))</f>
        <v>0</v>
      </c>
    </row>
    <row r="136" spans="1:5" s="298" customFormat="1" ht="10.5">
      <c r="A136" s="298" t="s">
        <v>228</v>
      </c>
      <c r="D136" s="299"/>
      <c r="E136" s="298" t="s">
        <v>114</v>
      </c>
    </row>
    <row r="137" spans="1:17" ht="10.5">
      <c r="A137" s="228"/>
      <c r="B137" s="228"/>
      <c r="C137" s="228"/>
      <c r="D137" s="297"/>
      <c r="E137" s="351">
        <f>IF($D85&gt;COLUMN()-4,SUM($E85:E85),0)</f>
        <v>0</v>
      </c>
      <c r="F137" s="351">
        <f>IF($D85&gt;COLUMN()-4,SUM($E85:F85),0)</f>
        <v>0</v>
      </c>
      <c r="G137" s="351">
        <f>IF($D85&gt;COLUMN()-4,SUM($E85:G85),0)</f>
        <v>0</v>
      </c>
      <c r="H137" s="351">
        <f>IF($D85&gt;COLUMN()-4,SUM($E85:H85),0)</f>
        <v>0</v>
      </c>
      <c r="I137" s="351">
        <f>IF($D85&gt;COLUMN()-4,SUM($E85:I85),0)</f>
        <v>0</v>
      </c>
      <c r="J137" s="351">
        <f>IF($D85&gt;COLUMN()-4,SUM($E85:J85),0)</f>
        <v>0</v>
      </c>
      <c r="K137" s="351">
        <f>IF($D85&gt;COLUMN()-4,SUM($E85:K85),0)</f>
        <v>0</v>
      </c>
      <c r="L137" s="351">
        <f>IF($D85&gt;COLUMN()-4,SUM($E85:L85),0)</f>
        <v>0</v>
      </c>
      <c r="M137" s="351">
        <f>IF($D85&gt;COLUMN()-4,SUM($E85:M85),0)</f>
        <v>0</v>
      </c>
      <c r="N137" s="351">
        <f>IF($D85&gt;COLUMN()-4,SUM($E85:N85),0)</f>
        <v>0</v>
      </c>
      <c r="O137" s="351">
        <f>IF($D85&gt;COLUMN()-4,SUM($E85:O85),0)</f>
        <v>0</v>
      </c>
      <c r="P137" s="351">
        <f>IF($D85&gt;COLUMN()-4,SUM($E85:P85),0)</f>
        <v>0</v>
      </c>
      <c r="Q137" s="351">
        <f>IF($D85&gt;COLUMN()-4,SUM($E85:Q85),0)</f>
        <v>0</v>
      </c>
    </row>
    <row r="138" spans="1:17" ht="10.5">
      <c r="A138" s="228"/>
      <c r="B138" s="228"/>
      <c r="C138" s="228"/>
      <c r="D138" s="297"/>
      <c r="E138" s="351">
        <f>IF($D86&gt;COLUMN()-4,SUM($E86:E86),0)</f>
        <v>0</v>
      </c>
      <c r="F138" s="351">
        <f>IF($D86&gt;COLUMN()-4,SUM($E86:F86),0)</f>
        <v>0</v>
      </c>
      <c r="G138" s="351">
        <f>IF($D86&gt;COLUMN()-4,SUM($E86:G86),0)</f>
        <v>0</v>
      </c>
      <c r="H138" s="351">
        <f>IF($D86&gt;COLUMN()-4,SUM($E86:H86),0)</f>
        <v>0</v>
      </c>
      <c r="I138" s="351">
        <f>IF($D86&gt;COLUMN()-4,SUM($E86:I86),0)</f>
        <v>0</v>
      </c>
      <c r="J138" s="351">
        <f>IF($D86&gt;COLUMN()-4,SUM($E86:J86),0)</f>
        <v>0</v>
      </c>
      <c r="K138" s="351">
        <f>IF($D86&gt;COLUMN()-4,SUM($E86:K86),0)</f>
        <v>0</v>
      </c>
      <c r="L138" s="351">
        <f>IF($D86&gt;COLUMN()-4,SUM($E86:L86),0)</f>
        <v>0</v>
      </c>
      <c r="M138" s="351">
        <f>IF($D86&gt;COLUMN()-4,SUM($E86:M86),0)</f>
        <v>0</v>
      </c>
      <c r="N138" s="351">
        <f>IF($D86&gt;COLUMN()-4,SUM($E86:N86),0)</f>
        <v>0</v>
      </c>
      <c r="O138" s="351">
        <f>IF($D86&gt;COLUMN()-4,SUM($E86:O86),0)</f>
        <v>0</v>
      </c>
      <c r="P138" s="351">
        <f>IF($D86&gt;COLUMN()-4,SUM($E86:P86),0)</f>
        <v>0</v>
      </c>
      <c r="Q138" s="351">
        <f>IF($D86&gt;COLUMN()-4,SUM($E86:Q86),0)</f>
        <v>0</v>
      </c>
    </row>
    <row r="139" spans="1:17" ht="10.5">
      <c r="A139" s="228"/>
      <c r="B139" s="228"/>
      <c r="C139" s="228"/>
      <c r="D139" s="297"/>
      <c r="E139" s="351">
        <f>IF($D87&gt;COLUMN()-4,SUM($E87:E87),0)</f>
        <v>0</v>
      </c>
      <c r="F139" s="351">
        <f>IF($D87&gt;COLUMN()-4,SUM($E87:F87),0)</f>
        <v>0</v>
      </c>
      <c r="G139" s="351">
        <f>IF($D87&gt;COLUMN()-4,SUM($E87:G87),0)</f>
        <v>0</v>
      </c>
      <c r="H139" s="351">
        <f>IF($D87&gt;COLUMN()-4,SUM($E87:H87),0)</f>
        <v>0</v>
      </c>
      <c r="I139" s="351">
        <f>IF($D87&gt;COLUMN()-4,SUM($E87:I87),0)</f>
        <v>0</v>
      </c>
      <c r="J139" s="351">
        <f>IF($D87&gt;COLUMN()-4,SUM($E87:J87),0)</f>
        <v>0</v>
      </c>
      <c r="K139" s="351">
        <f>IF($D87&gt;COLUMN()-4,SUM($E87:K87),0)</f>
        <v>0</v>
      </c>
      <c r="L139" s="351">
        <f>IF($D87&gt;COLUMN()-4,SUM($E87:L87),0)</f>
        <v>0</v>
      </c>
      <c r="M139" s="351">
        <f>IF($D87&gt;COLUMN()-4,SUM($E87:M87),0)</f>
        <v>0</v>
      </c>
      <c r="N139" s="351">
        <f>IF($D87&gt;COLUMN()-4,SUM($E87:N87),0)</f>
        <v>0</v>
      </c>
      <c r="O139" s="351">
        <f>IF($D87&gt;COLUMN()-4,SUM($E87:O87),0)</f>
        <v>0</v>
      </c>
      <c r="P139" s="351">
        <f>IF($D87&gt;COLUMN()-4,SUM($E87:P87),0)</f>
        <v>0</v>
      </c>
      <c r="Q139" s="351">
        <f>IF($D87&gt;COLUMN()-4,SUM($E87:Q87),0)</f>
        <v>0</v>
      </c>
    </row>
    <row r="140" spans="1:17" ht="10.5">
      <c r="A140" s="228"/>
      <c r="B140" s="228"/>
      <c r="C140" s="228"/>
      <c r="D140" s="297"/>
      <c r="E140" s="351">
        <f>IF($D88&gt;COLUMN()-4,SUM($E88:E88),0)</f>
        <v>0</v>
      </c>
      <c r="F140" s="351">
        <f>IF($D88&gt;COLUMN()-4,SUM($E88:F88),0)</f>
        <v>0</v>
      </c>
      <c r="G140" s="351">
        <f>IF($D88&gt;COLUMN()-4,SUM($E88:G88),0)</f>
        <v>0</v>
      </c>
      <c r="H140" s="351">
        <f>IF($D88&gt;COLUMN()-4,SUM($E88:H88),0)</f>
        <v>0</v>
      </c>
      <c r="I140" s="351">
        <f>IF($D88&gt;COLUMN()-4,SUM($E88:I88),0)</f>
        <v>0</v>
      </c>
      <c r="J140" s="351">
        <f>IF($D88&gt;COLUMN()-4,SUM($E88:J88),0)</f>
        <v>0</v>
      </c>
      <c r="K140" s="351">
        <f>IF($D88&gt;COLUMN()-4,SUM($E88:K88),0)</f>
        <v>0</v>
      </c>
      <c r="L140" s="351">
        <f>IF($D88&gt;COLUMN()-4,SUM($E88:L88),0)</f>
        <v>0</v>
      </c>
      <c r="M140" s="351">
        <f>IF($D88&gt;COLUMN()-4,SUM($E88:M88),0)</f>
        <v>0</v>
      </c>
      <c r="N140" s="351">
        <f>IF($D88&gt;COLUMN()-4,SUM($E88:N88),0)</f>
        <v>0</v>
      </c>
      <c r="O140" s="351">
        <f>IF($D88&gt;COLUMN()-4,SUM($E88:O88),0)</f>
        <v>0</v>
      </c>
      <c r="P140" s="351">
        <f>IF($D88&gt;COLUMN()-4,SUM($E88:P88),0)</f>
        <v>0</v>
      </c>
      <c r="Q140" s="351">
        <f>IF($D88&gt;COLUMN()-4,SUM($E88:Q88),0)</f>
        <v>0</v>
      </c>
    </row>
    <row r="141" spans="4:17" s="228" customFormat="1" ht="10.5">
      <c r="D141" s="297" t="s">
        <v>180</v>
      </c>
      <c r="E141" s="350">
        <f ca="1">SUM(E137:OFFSET(E137,ASS_COUNT_2-1,0))</f>
        <v>0</v>
      </c>
      <c r="F141" s="350">
        <f ca="1">SUM(F137:OFFSET(F137,ASS_COUNT_2-1,0))</f>
        <v>0</v>
      </c>
      <c r="G141" s="350">
        <f ca="1">SUM(G137:OFFSET(G137,ASS_COUNT_2-1,0))</f>
        <v>0</v>
      </c>
      <c r="H141" s="350">
        <f ca="1">SUM(H137:OFFSET(H137,ASS_COUNT_2-1,0))</f>
        <v>0</v>
      </c>
      <c r="I141" s="350">
        <f ca="1">SUM(I137:OFFSET(I137,ASS_COUNT_2-1,0))</f>
        <v>0</v>
      </c>
      <c r="J141" s="350">
        <f ca="1">SUM(J137:OFFSET(J137,ASS_COUNT_2-1,0))</f>
        <v>0</v>
      </c>
      <c r="K141" s="350">
        <f ca="1">SUM(K137:OFFSET(K137,ASS_COUNT_2-1,0))</f>
        <v>0</v>
      </c>
      <c r="L141" s="350">
        <f ca="1">SUM(L137:OFFSET(L137,ASS_COUNT_2-1,0))</f>
        <v>0</v>
      </c>
      <c r="M141" s="350">
        <f ca="1">SUM(M137:OFFSET(M137,ASS_COUNT_2-1,0))</f>
        <v>0</v>
      </c>
      <c r="N141" s="350">
        <f ca="1">SUM(N137:OFFSET(N137,ASS_COUNT_2-1,0))</f>
        <v>0</v>
      </c>
      <c r="O141" s="350">
        <f ca="1">SUM(O137:OFFSET(O137,ASS_COUNT_2-1,0))</f>
        <v>0</v>
      </c>
      <c r="P141" s="350">
        <f ca="1">SUM(P137:OFFSET(P137,ASS_COUNT_2-1,0))</f>
        <v>0</v>
      </c>
      <c r="Q141" s="350">
        <f ca="1">SUM(Q137:OFFSET(Q137,ASS_COUNT_2-1,0))</f>
        <v>0</v>
      </c>
    </row>
    <row r="142" spans="1:5" s="298" customFormat="1" ht="10.5">
      <c r="A142" s="298" t="s">
        <v>229</v>
      </c>
      <c r="D142" s="299"/>
      <c r="E142" s="298" t="s">
        <v>114</v>
      </c>
    </row>
    <row r="143" spans="1:17" ht="10.5">
      <c r="A143" s="228"/>
      <c r="B143" s="228"/>
      <c r="C143" s="228"/>
      <c r="D143" s="297"/>
      <c r="E143" s="351">
        <f>IF($D91&gt;COLUMN()-4,SUM($E91:E91),0)</f>
        <v>0</v>
      </c>
      <c r="F143" s="351">
        <f>IF($D91&gt;COLUMN()-4,SUM($E91:F91),0)</f>
        <v>0</v>
      </c>
      <c r="G143" s="351">
        <f>IF($D91&gt;COLUMN()-4,SUM($E91:G91),0)</f>
        <v>0</v>
      </c>
      <c r="H143" s="351">
        <f>IF($D91&gt;COLUMN()-4,SUM($E91:H91),0)</f>
        <v>0</v>
      </c>
      <c r="I143" s="351">
        <f>IF($D91&gt;COLUMN()-4,SUM($E91:I91),0)</f>
        <v>0</v>
      </c>
      <c r="J143" s="351">
        <f>IF($D91&gt;COLUMN()-4,SUM($E91:J91),0)</f>
        <v>0</v>
      </c>
      <c r="K143" s="351">
        <f>IF($D91&gt;COLUMN()-4,SUM($E91:K91),0)</f>
        <v>0</v>
      </c>
      <c r="L143" s="351">
        <f>IF($D91&gt;COLUMN()-4,SUM($E91:L91),0)</f>
        <v>0</v>
      </c>
      <c r="M143" s="351">
        <f>IF($D91&gt;COLUMN()-4,SUM($E91:M91),0)</f>
        <v>0</v>
      </c>
      <c r="N143" s="351">
        <f>IF($D91&gt;COLUMN()-4,SUM($E91:N91),0)</f>
        <v>0</v>
      </c>
      <c r="O143" s="351">
        <f>IF($D91&gt;COLUMN()-4,SUM($E91:O91),0)</f>
        <v>0</v>
      </c>
      <c r="P143" s="351">
        <f>IF($D91&gt;COLUMN()-4,SUM($E91:P91),0)</f>
        <v>0</v>
      </c>
      <c r="Q143" s="351">
        <f>IF($D91&gt;COLUMN()-4,SUM($E91:Q91),0)</f>
        <v>0</v>
      </c>
    </row>
    <row r="144" spans="1:17" ht="10.5">
      <c r="A144" s="228"/>
      <c r="B144" s="228"/>
      <c r="C144" s="228"/>
      <c r="D144" s="297"/>
      <c r="E144" s="351">
        <f>IF($D92&gt;COLUMN()-4,SUM($E92:E92),0)</f>
        <v>0</v>
      </c>
      <c r="F144" s="351">
        <f>IF($D92&gt;COLUMN()-4,SUM($E92:F92),0)</f>
        <v>0</v>
      </c>
      <c r="G144" s="351">
        <f>IF($D92&gt;COLUMN()-4,SUM($E92:G92),0)</f>
        <v>0</v>
      </c>
      <c r="H144" s="351">
        <f>IF($D92&gt;COLUMN()-4,SUM($E92:H92),0)</f>
        <v>0</v>
      </c>
      <c r="I144" s="351">
        <f>IF($D92&gt;COLUMN()-4,SUM($E92:I92),0)</f>
        <v>0</v>
      </c>
      <c r="J144" s="351">
        <f>IF($D92&gt;COLUMN()-4,SUM($E92:J92),0)</f>
        <v>0</v>
      </c>
      <c r="K144" s="351">
        <f>IF($D92&gt;COLUMN()-4,SUM($E92:K92),0)</f>
        <v>0</v>
      </c>
      <c r="L144" s="351">
        <f>IF($D92&gt;COLUMN()-4,SUM($E92:L92),0)</f>
        <v>0</v>
      </c>
      <c r="M144" s="351">
        <f>IF($D92&gt;COLUMN()-4,SUM($E92:M92),0)</f>
        <v>0</v>
      </c>
      <c r="N144" s="351">
        <f>IF($D92&gt;COLUMN()-4,SUM($E92:N92),0)</f>
        <v>0</v>
      </c>
      <c r="O144" s="351">
        <f>IF($D92&gt;COLUMN()-4,SUM($E92:O92),0)</f>
        <v>0</v>
      </c>
      <c r="P144" s="351">
        <f>IF($D92&gt;COLUMN()-4,SUM($E92:P92),0)</f>
        <v>0</v>
      </c>
      <c r="Q144" s="351">
        <f>IF($D92&gt;COLUMN()-4,SUM($E92:Q92),0)</f>
        <v>0</v>
      </c>
    </row>
    <row r="145" spans="4:17" s="228" customFormat="1" ht="10.5">
      <c r="D145" s="297" t="s">
        <v>180</v>
      </c>
      <c r="E145" s="350">
        <f ca="1">SUM(E143:OFFSET(E143,ASS_COUNT_3-1,0))</f>
        <v>0</v>
      </c>
      <c r="F145" s="350">
        <f ca="1">SUM(F143:OFFSET(F143,ASS_COUNT_3-1,0))</f>
        <v>0</v>
      </c>
      <c r="G145" s="350">
        <f ca="1">SUM(G143:OFFSET(G143,ASS_COUNT_3-1,0))</f>
        <v>0</v>
      </c>
      <c r="H145" s="350">
        <f ca="1">SUM(H143:OFFSET(H143,ASS_COUNT_3-1,0))</f>
        <v>0</v>
      </c>
      <c r="I145" s="350">
        <f ca="1">SUM(I143:OFFSET(I143,ASS_COUNT_3-1,0))</f>
        <v>0</v>
      </c>
      <c r="J145" s="350">
        <f ca="1">SUM(J143:OFFSET(J143,ASS_COUNT_3-1,0))</f>
        <v>0</v>
      </c>
      <c r="K145" s="350">
        <f ca="1">SUM(K143:OFFSET(K143,ASS_COUNT_3-1,0))</f>
        <v>0</v>
      </c>
      <c r="L145" s="350">
        <f ca="1">SUM(L143:OFFSET(L143,ASS_COUNT_3-1,0))</f>
        <v>0</v>
      </c>
      <c r="M145" s="350">
        <f ca="1">SUM(M143:OFFSET(M143,ASS_COUNT_3-1,0))</f>
        <v>0</v>
      </c>
      <c r="N145" s="350">
        <f ca="1">SUM(N143:OFFSET(N143,ASS_COUNT_3-1,0))</f>
        <v>0</v>
      </c>
      <c r="O145" s="350">
        <f ca="1">SUM(O143:OFFSET(O143,ASS_COUNT_3-1,0))</f>
        <v>0</v>
      </c>
      <c r="P145" s="350">
        <f ca="1">SUM(P143:OFFSET(P143,ASS_COUNT_3-1,0))</f>
        <v>0</v>
      </c>
      <c r="Q145" s="350">
        <f ca="1">SUM(Q143:OFFSET(Q143,ASS_COUNT_3-1,0))</f>
        <v>0</v>
      </c>
    </row>
    <row r="146" spans="1:5" s="298" customFormat="1" ht="10.5">
      <c r="A146" s="298" t="s">
        <v>230</v>
      </c>
      <c r="D146" s="299"/>
      <c r="E146" s="298" t="s">
        <v>114</v>
      </c>
    </row>
    <row r="147" spans="1:17" ht="10.5">
      <c r="A147" s="228"/>
      <c r="B147" s="228"/>
      <c r="C147" s="228"/>
      <c r="D147" s="297"/>
      <c r="E147" s="351">
        <f>IF($D95&gt;COLUMN()-4,SUM($E95:E95),0)</f>
        <v>0</v>
      </c>
      <c r="F147" s="351">
        <f>IF($D95&gt;COLUMN()-4,SUM($E95:F95),0)</f>
        <v>0</v>
      </c>
      <c r="G147" s="351">
        <f>IF($D95&gt;COLUMN()-4,SUM($E95:G95),0)</f>
        <v>0</v>
      </c>
      <c r="H147" s="351">
        <f>IF($D95&gt;COLUMN()-4,SUM($E95:H95),0)</f>
        <v>0</v>
      </c>
      <c r="I147" s="351">
        <f>IF($D95&gt;COLUMN()-4,SUM($E95:I95),0)</f>
        <v>0</v>
      </c>
      <c r="J147" s="351">
        <f>IF($D95&gt;COLUMN()-4,SUM($E95:J95),0)</f>
        <v>0</v>
      </c>
      <c r="K147" s="351">
        <f>IF($D95&gt;COLUMN()-4,SUM($E95:K95),0)</f>
        <v>0</v>
      </c>
      <c r="L147" s="351">
        <f>IF($D95&gt;COLUMN()-4,SUM($E95:L95),0)</f>
        <v>0</v>
      </c>
      <c r="M147" s="351">
        <f>IF($D95&gt;COLUMN()-4,SUM($E95:M95),0)</f>
        <v>0</v>
      </c>
      <c r="N147" s="351">
        <f>IF($D95&gt;COLUMN()-4,SUM($E95:N95),0)</f>
        <v>0</v>
      </c>
      <c r="O147" s="351">
        <f>IF($D95&gt;COLUMN()-4,SUM($E95:O95),0)</f>
        <v>0</v>
      </c>
      <c r="P147" s="351">
        <f>IF($D95&gt;COLUMN()-4,SUM($E95:P95),0)</f>
        <v>0</v>
      </c>
      <c r="Q147" s="351">
        <f>IF($D95&gt;COLUMN()-4,SUM($E95:Q95),0)</f>
        <v>0</v>
      </c>
    </row>
    <row r="148" spans="1:17" ht="10.5">
      <c r="A148" s="228"/>
      <c r="B148" s="228"/>
      <c r="C148" s="228"/>
      <c r="D148" s="297"/>
      <c r="E148" s="351">
        <f>IF($D96&gt;COLUMN()-4,SUM($E96:E96),0)</f>
        <v>0</v>
      </c>
      <c r="F148" s="351">
        <f>IF($D96&gt;COLUMN()-4,SUM($E96:F96),0)</f>
        <v>0</v>
      </c>
      <c r="G148" s="351">
        <f>IF($D96&gt;COLUMN()-4,SUM($E96:G96),0)</f>
        <v>0</v>
      </c>
      <c r="H148" s="351">
        <f>IF($D96&gt;COLUMN()-4,SUM($E96:H96),0)</f>
        <v>0</v>
      </c>
      <c r="I148" s="351">
        <f>IF($D96&gt;COLUMN()-4,SUM($E96:I96),0)</f>
        <v>0</v>
      </c>
      <c r="J148" s="351">
        <f>IF($D96&gt;COLUMN()-4,SUM($E96:J96),0)</f>
        <v>0</v>
      </c>
      <c r="K148" s="351">
        <f>IF($D96&gt;COLUMN()-4,SUM($E96:K96),0)</f>
        <v>0</v>
      </c>
      <c r="L148" s="351">
        <f>IF($D96&gt;COLUMN()-4,SUM($E96:L96),0)</f>
        <v>0</v>
      </c>
      <c r="M148" s="351">
        <f>IF($D96&gt;COLUMN()-4,SUM($E96:M96),0)</f>
        <v>0</v>
      </c>
      <c r="N148" s="351">
        <f>IF($D96&gt;COLUMN()-4,SUM($E96:N96),0)</f>
        <v>0</v>
      </c>
      <c r="O148" s="351">
        <f>IF($D96&gt;COLUMN()-4,SUM($E96:O96),0)</f>
        <v>0</v>
      </c>
      <c r="P148" s="351">
        <f>IF($D96&gt;COLUMN()-4,SUM($E96:P96),0)</f>
        <v>0</v>
      </c>
      <c r="Q148" s="351">
        <f>IF($D96&gt;COLUMN()-4,SUM($E96:Q96),0)</f>
        <v>0</v>
      </c>
    </row>
    <row r="149" spans="1:17" ht="10.5">
      <c r="A149" s="228"/>
      <c r="B149" s="228"/>
      <c r="C149" s="228"/>
      <c r="D149" s="297"/>
      <c r="E149" s="351">
        <f>IF($D97&gt;COLUMN()-4,SUM($E97:E97),0)</f>
        <v>0</v>
      </c>
      <c r="F149" s="351">
        <f>IF($D97&gt;COLUMN()-4,SUM($E97:F97),0)</f>
        <v>0</v>
      </c>
      <c r="G149" s="351">
        <f>IF($D97&gt;COLUMN()-4,SUM($E97:G97),0)</f>
        <v>0</v>
      </c>
      <c r="H149" s="351">
        <f>IF($D97&gt;COLUMN()-4,SUM($E97:H97),0)</f>
        <v>0</v>
      </c>
      <c r="I149" s="351">
        <f>IF($D97&gt;COLUMN()-4,SUM($E97:I97),0)</f>
        <v>0</v>
      </c>
      <c r="J149" s="351">
        <f>IF($D97&gt;COLUMN()-4,SUM($E97:J97),0)</f>
        <v>0</v>
      </c>
      <c r="K149" s="351">
        <f>IF($D97&gt;COLUMN()-4,SUM($E97:K97),0)</f>
        <v>0</v>
      </c>
      <c r="L149" s="351">
        <f>IF($D97&gt;COLUMN()-4,SUM($E97:L97),0)</f>
        <v>0</v>
      </c>
      <c r="M149" s="351">
        <f>IF($D97&gt;COLUMN()-4,SUM($E97:M97),0)</f>
        <v>0</v>
      </c>
      <c r="N149" s="351">
        <f>IF($D97&gt;COLUMN()-4,SUM($E97:N97),0)</f>
        <v>0</v>
      </c>
      <c r="O149" s="351">
        <f>IF($D97&gt;COLUMN()-4,SUM($E97:O97),0)</f>
        <v>0</v>
      </c>
      <c r="P149" s="351">
        <f>IF($D97&gt;COLUMN()-4,SUM($E97:P97),0)</f>
        <v>0</v>
      </c>
      <c r="Q149" s="351">
        <f>IF($D97&gt;COLUMN()-4,SUM($E97:Q97),0)</f>
        <v>0</v>
      </c>
    </row>
    <row r="150" spans="1:17" ht="10.5">
      <c r="A150" s="228"/>
      <c r="B150" s="228"/>
      <c r="C150" s="228"/>
      <c r="D150" s="297"/>
      <c r="E150" s="351">
        <f>IF($D98&gt;COLUMN()-4,SUM($E98:E98),0)</f>
        <v>0</v>
      </c>
      <c r="F150" s="351">
        <f>IF($D98&gt;COLUMN()-4,SUM($E98:F98),0)</f>
        <v>0</v>
      </c>
      <c r="G150" s="351">
        <f>IF($D98&gt;COLUMN()-4,SUM($E98:G98),0)</f>
        <v>0</v>
      </c>
      <c r="H150" s="351">
        <f>IF($D98&gt;COLUMN()-4,SUM($E98:H98),0)</f>
        <v>0</v>
      </c>
      <c r="I150" s="351">
        <f>IF($D98&gt;COLUMN()-4,SUM($E98:I98),0)</f>
        <v>0</v>
      </c>
      <c r="J150" s="351">
        <f>IF($D98&gt;COLUMN()-4,SUM($E98:J98),0)</f>
        <v>0</v>
      </c>
      <c r="K150" s="351">
        <f>IF($D98&gt;COLUMN()-4,SUM($E98:K98),0)</f>
        <v>0</v>
      </c>
      <c r="L150" s="351">
        <f>IF($D98&gt;COLUMN()-4,SUM($E98:L98),0)</f>
        <v>0</v>
      </c>
      <c r="M150" s="351">
        <f>IF($D98&gt;COLUMN()-4,SUM($E98:M98),0)</f>
        <v>0</v>
      </c>
      <c r="N150" s="351">
        <f>IF($D98&gt;COLUMN()-4,SUM($E98:N98),0)</f>
        <v>0</v>
      </c>
      <c r="O150" s="351">
        <f>IF($D98&gt;COLUMN()-4,SUM($E98:O98),0)</f>
        <v>0</v>
      </c>
      <c r="P150" s="351">
        <f>IF($D98&gt;COLUMN()-4,SUM($E98:P98),0)</f>
        <v>0</v>
      </c>
      <c r="Q150" s="351">
        <f>IF($D98&gt;COLUMN()-4,SUM($E98:Q98),0)</f>
        <v>0</v>
      </c>
    </row>
    <row r="151" spans="1:17" ht="10.5">
      <c r="A151" s="228"/>
      <c r="B151" s="228"/>
      <c r="C151" s="228"/>
      <c r="D151" s="297"/>
      <c r="E151" s="351">
        <f>IF($D99&gt;COLUMN()-4,SUM($E99:E99),0)</f>
        <v>0</v>
      </c>
      <c r="F151" s="351">
        <f>IF($D99&gt;COLUMN()-4,SUM($E99:F99),0)</f>
        <v>0</v>
      </c>
      <c r="G151" s="351">
        <f>IF($D99&gt;COLUMN()-4,SUM($E99:G99),0)</f>
        <v>0</v>
      </c>
      <c r="H151" s="351">
        <f>IF($D99&gt;COLUMN()-4,SUM($E99:H99),0)</f>
        <v>0</v>
      </c>
      <c r="I151" s="351">
        <f>IF($D99&gt;COLUMN()-4,SUM($E99:I99),0)</f>
        <v>0</v>
      </c>
      <c r="J151" s="351">
        <f>IF($D99&gt;COLUMN()-4,SUM($E99:J99),0)</f>
        <v>0</v>
      </c>
      <c r="K151" s="351">
        <f>IF($D99&gt;COLUMN()-4,SUM($E99:K99),0)</f>
        <v>0</v>
      </c>
      <c r="L151" s="351">
        <f>IF($D99&gt;COLUMN()-4,SUM($E99:L99),0)</f>
        <v>0</v>
      </c>
      <c r="M151" s="351">
        <f>IF($D99&gt;COLUMN()-4,SUM($E99:M99),0)</f>
        <v>0</v>
      </c>
      <c r="N151" s="351">
        <f>IF($D99&gt;COLUMN()-4,SUM($E99:N99),0)</f>
        <v>0</v>
      </c>
      <c r="O151" s="351">
        <f>IF($D99&gt;COLUMN()-4,SUM($E99:O99),0)</f>
        <v>0</v>
      </c>
      <c r="P151" s="351">
        <f>IF($D99&gt;COLUMN()-4,SUM($E99:P99),0)</f>
        <v>0</v>
      </c>
      <c r="Q151" s="351">
        <f>IF($D99&gt;COLUMN()-4,SUM($E99:Q99),0)</f>
        <v>0</v>
      </c>
    </row>
    <row r="152" spans="4:17" s="228" customFormat="1" ht="10.5">
      <c r="D152" s="297" t="s">
        <v>180</v>
      </c>
      <c r="E152" s="350">
        <f ca="1">SUM(E147:OFFSET(E147,ASS_COUNT_4-1,0))</f>
        <v>0</v>
      </c>
      <c r="F152" s="350">
        <f ca="1">SUM(F147:OFFSET(F147,ASS_COUNT_4-1,0))</f>
        <v>0</v>
      </c>
      <c r="G152" s="350">
        <f ca="1">SUM(G147:OFFSET(G147,ASS_COUNT_4-1,0))</f>
        <v>0</v>
      </c>
      <c r="H152" s="350">
        <f ca="1">SUM(H147:OFFSET(H147,ASS_COUNT_4-1,0))</f>
        <v>0</v>
      </c>
      <c r="I152" s="350">
        <f ca="1">SUM(I147:OFFSET(I147,ASS_COUNT_4-1,0))</f>
        <v>0</v>
      </c>
      <c r="J152" s="350">
        <f ca="1">SUM(J147:OFFSET(J147,ASS_COUNT_4-1,0))</f>
        <v>0</v>
      </c>
      <c r="K152" s="350">
        <f ca="1">SUM(K147:OFFSET(K147,ASS_COUNT_4-1,0))</f>
        <v>0</v>
      </c>
      <c r="L152" s="350">
        <f ca="1">SUM(L147:OFFSET(L147,ASS_COUNT_4-1,0))</f>
        <v>0</v>
      </c>
      <c r="M152" s="350">
        <f ca="1">SUM(M147:OFFSET(M147,ASS_COUNT_4-1,0))</f>
        <v>0</v>
      </c>
      <c r="N152" s="350">
        <f ca="1">SUM(N147:OFFSET(N147,ASS_COUNT_4-1,0))</f>
        <v>0</v>
      </c>
      <c r="O152" s="350">
        <f ca="1">SUM(O147:OFFSET(O147,ASS_COUNT_4-1,0))</f>
        <v>0</v>
      </c>
      <c r="P152" s="350">
        <f ca="1">SUM(P147:OFFSET(P147,ASS_COUNT_4-1,0))</f>
        <v>0</v>
      </c>
      <c r="Q152" s="350">
        <f ca="1">SUM(Q147:OFFSET(Q147,ASS_COUNT_4-1,0))</f>
        <v>0</v>
      </c>
    </row>
    <row r="153" spans="1:5" s="298" customFormat="1" ht="10.5">
      <c r="A153" s="298" t="s">
        <v>231</v>
      </c>
      <c r="D153" s="299"/>
      <c r="E153" s="298" t="s">
        <v>114</v>
      </c>
    </row>
    <row r="154" spans="1:17" ht="10.5">
      <c r="A154" s="228"/>
      <c r="B154" s="228"/>
      <c r="C154" s="228"/>
      <c r="D154" s="297"/>
      <c r="E154" s="351">
        <f>IF($D102&gt;COLUMN()-4,SUM($E102:E102),0)</f>
        <v>0</v>
      </c>
      <c r="F154" s="351">
        <f>IF($D102&gt;COLUMN()-4,SUM($E102:F102),0)</f>
        <v>0</v>
      </c>
      <c r="G154" s="351">
        <f>IF($D102&gt;COLUMN()-4,SUM($E102:G102),0)</f>
        <v>0</v>
      </c>
      <c r="H154" s="351">
        <f>IF($D102&gt;COLUMN()-4,SUM($E102:H102),0)</f>
        <v>0</v>
      </c>
      <c r="I154" s="351">
        <f>IF($D102&gt;COLUMN()-4,SUM($E102:I102),0)</f>
        <v>0</v>
      </c>
      <c r="J154" s="351">
        <f>IF($D102&gt;COLUMN()-4,SUM($E102:J102),0)</f>
        <v>0</v>
      </c>
      <c r="K154" s="351">
        <f>IF($D102&gt;COLUMN()-4,SUM($E102:K102),0)</f>
        <v>0</v>
      </c>
      <c r="L154" s="351">
        <f>IF($D102&gt;COLUMN()-4,SUM($E102:L102),0)</f>
        <v>0</v>
      </c>
      <c r="M154" s="351">
        <f>IF($D102&gt;COLUMN()-4,SUM($E102:M102),0)</f>
        <v>0</v>
      </c>
      <c r="N154" s="351">
        <f>IF($D102&gt;COLUMN()-4,SUM($E102:N102),0)</f>
        <v>0</v>
      </c>
      <c r="O154" s="351">
        <f>IF($D102&gt;COLUMN()-4,SUM($E102:O102),0)</f>
        <v>0</v>
      </c>
      <c r="P154" s="351">
        <f>IF($D102&gt;COLUMN()-4,SUM($E102:P102),0)</f>
        <v>0</v>
      </c>
      <c r="Q154" s="351">
        <f>IF($D102&gt;COLUMN()-4,SUM($E102:Q102),0)</f>
        <v>0</v>
      </c>
    </row>
    <row r="155" spans="1:17" ht="10.5">
      <c r="A155" s="228"/>
      <c r="B155" s="228"/>
      <c r="C155" s="228"/>
      <c r="D155" s="297"/>
      <c r="E155" s="351">
        <f>IF($D103&gt;COLUMN()-4,SUM($E103:E103),0)</f>
        <v>0</v>
      </c>
      <c r="F155" s="351">
        <f>IF($D103&gt;COLUMN()-4,SUM($E103:F103),0)</f>
        <v>0</v>
      </c>
      <c r="G155" s="351">
        <f>IF($D103&gt;COLUMN()-4,SUM($E103:G103),0)</f>
        <v>0</v>
      </c>
      <c r="H155" s="351">
        <f>IF($D103&gt;COLUMN()-4,SUM($E103:H103),0)</f>
        <v>0</v>
      </c>
      <c r="I155" s="351">
        <f>IF($D103&gt;COLUMN()-4,SUM($E103:I103),0)</f>
        <v>0</v>
      </c>
      <c r="J155" s="351">
        <f>IF($D103&gt;COLUMN()-4,SUM($E103:J103),0)</f>
        <v>0</v>
      </c>
      <c r="K155" s="351">
        <f>IF($D103&gt;COLUMN()-4,SUM($E103:K103),0)</f>
        <v>0</v>
      </c>
      <c r="L155" s="351">
        <f>IF($D103&gt;COLUMN()-4,SUM($E103:L103),0)</f>
        <v>0</v>
      </c>
      <c r="M155" s="351">
        <f>IF($D103&gt;COLUMN()-4,SUM($E103:M103),0)</f>
        <v>0</v>
      </c>
      <c r="N155" s="351">
        <f>IF($D103&gt;COLUMN()-4,SUM($E103:N103),0)</f>
        <v>0</v>
      </c>
      <c r="O155" s="351">
        <f>IF($D103&gt;COLUMN()-4,SUM($E103:O103),0)</f>
        <v>0</v>
      </c>
      <c r="P155" s="351">
        <f>IF($D103&gt;COLUMN()-4,SUM($E103:P103),0)</f>
        <v>0</v>
      </c>
      <c r="Q155" s="351">
        <f>IF($D103&gt;COLUMN()-4,SUM($E103:Q103),0)</f>
        <v>0</v>
      </c>
    </row>
    <row r="156" spans="1:17" ht="10.5">
      <c r="A156" s="228"/>
      <c r="B156" s="228"/>
      <c r="C156" s="228"/>
      <c r="D156" s="297"/>
      <c r="E156" s="351">
        <f>IF($D104&gt;COLUMN()-4,SUM($E104:E104),0)</f>
        <v>0</v>
      </c>
      <c r="F156" s="351">
        <f>IF($D104&gt;COLUMN()-4,SUM($E104:F104),0)</f>
        <v>0</v>
      </c>
      <c r="G156" s="351">
        <f>IF($D104&gt;COLUMN()-4,SUM($E104:G104),0)</f>
        <v>0</v>
      </c>
      <c r="H156" s="351">
        <f>IF($D104&gt;COLUMN()-4,SUM($E104:H104),0)</f>
        <v>0</v>
      </c>
      <c r="I156" s="351">
        <f>IF($D104&gt;COLUMN()-4,SUM($E104:I104),0)</f>
        <v>0</v>
      </c>
      <c r="J156" s="351">
        <f>IF($D104&gt;COLUMN()-4,SUM($E104:J104),0)</f>
        <v>0</v>
      </c>
      <c r="K156" s="351">
        <f>IF($D104&gt;COLUMN()-4,SUM($E104:K104),0)</f>
        <v>0</v>
      </c>
      <c r="L156" s="351">
        <f>IF($D104&gt;COLUMN()-4,SUM($E104:L104),0)</f>
        <v>0</v>
      </c>
      <c r="M156" s="351">
        <f>IF($D104&gt;COLUMN()-4,SUM($E104:M104),0)</f>
        <v>0</v>
      </c>
      <c r="N156" s="351">
        <f>IF($D104&gt;COLUMN()-4,SUM($E104:N104),0)</f>
        <v>0</v>
      </c>
      <c r="O156" s="351">
        <f>IF($D104&gt;COLUMN()-4,SUM($E104:O104),0)</f>
        <v>0</v>
      </c>
      <c r="P156" s="351">
        <f>IF($D104&gt;COLUMN()-4,SUM($E104:P104),0)</f>
        <v>0</v>
      </c>
      <c r="Q156" s="351">
        <f>IF($D104&gt;COLUMN()-4,SUM($E104:Q104),0)</f>
        <v>0</v>
      </c>
    </row>
    <row r="157" spans="1:17" ht="10.5">
      <c r="A157" s="228"/>
      <c r="B157" s="228"/>
      <c r="C157" s="228"/>
      <c r="D157" s="297"/>
      <c r="E157" s="351">
        <f>IF($D105&gt;COLUMN()-4,SUM($E105:E105),0)</f>
        <v>0</v>
      </c>
      <c r="F157" s="351">
        <f>IF($D105&gt;COLUMN()-4,SUM($E105:F105),0)</f>
        <v>0</v>
      </c>
      <c r="G157" s="351">
        <f>IF($D105&gt;COLUMN()-4,SUM($E105:G105),0)</f>
        <v>0</v>
      </c>
      <c r="H157" s="351">
        <f>IF($D105&gt;COLUMN()-4,SUM($E105:H105),0)</f>
        <v>0</v>
      </c>
      <c r="I157" s="351">
        <f>IF($D105&gt;COLUMN()-4,SUM($E105:I105),0)</f>
        <v>0</v>
      </c>
      <c r="J157" s="351">
        <f>IF($D105&gt;COLUMN()-4,SUM($E105:J105),0)</f>
        <v>0</v>
      </c>
      <c r="K157" s="351">
        <f>IF($D105&gt;COLUMN()-4,SUM($E105:K105),0)</f>
        <v>0</v>
      </c>
      <c r="L157" s="351">
        <f>IF($D105&gt;COLUMN()-4,SUM($E105:L105),0)</f>
        <v>0</v>
      </c>
      <c r="M157" s="351">
        <f>IF($D105&gt;COLUMN()-4,SUM($E105:M105),0)</f>
        <v>0</v>
      </c>
      <c r="N157" s="351">
        <f>IF($D105&gt;COLUMN()-4,SUM($E105:N105),0)</f>
        <v>0</v>
      </c>
      <c r="O157" s="351">
        <f>IF($D105&gt;COLUMN()-4,SUM($E105:O105),0)</f>
        <v>0</v>
      </c>
      <c r="P157" s="351">
        <f>IF($D105&gt;COLUMN()-4,SUM($E105:P105),0)</f>
        <v>0</v>
      </c>
      <c r="Q157" s="351">
        <f>IF($D105&gt;COLUMN()-4,SUM($E105:Q105),0)</f>
        <v>0</v>
      </c>
    </row>
    <row r="158" spans="4:17" s="306" customFormat="1" ht="10.5">
      <c r="D158" s="307" t="s">
        <v>180</v>
      </c>
      <c r="E158" s="374">
        <f ca="1">SUM(E154:OFFSET(E154,ASS_COUNT_5-1,0))</f>
        <v>0</v>
      </c>
      <c r="F158" s="374">
        <f ca="1">SUM(F154:OFFSET(F154,ASS_COUNT_5-1,0))</f>
        <v>0</v>
      </c>
      <c r="G158" s="374">
        <f ca="1">SUM(G154:OFFSET(G154,ASS_COUNT_5-1,0))</f>
        <v>0</v>
      </c>
      <c r="H158" s="374">
        <f ca="1">SUM(H154:OFFSET(H154,ASS_COUNT_5-1,0))</f>
        <v>0</v>
      </c>
      <c r="I158" s="374">
        <f ca="1">SUM(I154:OFFSET(I154,ASS_COUNT_5-1,0))</f>
        <v>0</v>
      </c>
      <c r="J158" s="374">
        <f ca="1">SUM(J154:OFFSET(J154,ASS_COUNT_5-1,0))</f>
        <v>0</v>
      </c>
      <c r="K158" s="374">
        <f ca="1">SUM(K154:OFFSET(K154,ASS_COUNT_5-1,0))</f>
        <v>0</v>
      </c>
      <c r="L158" s="374">
        <f ca="1">SUM(L154:OFFSET(L154,ASS_COUNT_5-1,0))</f>
        <v>0</v>
      </c>
      <c r="M158" s="374">
        <f ca="1">SUM(M154:OFFSET(M154,ASS_COUNT_5-1,0))</f>
        <v>0</v>
      </c>
      <c r="N158" s="374">
        <f ca="1">SUM(N154:OFFSET(N154,ASS_COUNT_5-1,0))</f>
        <v>0</v>
      </c>
      <c r="O158" s="374">
        <f ca="1">SUM(O154:OFFSET(O154,ASS_COUNT_5-1,0))</f>
        <v>0</v>
      </c>
      <c r="P158" s="374">
        <f ca="1">SUM(P154:OFFSET(P154,ASS_COUNT_5-1,0))</f>
        <v>0</v>
      </c>
      <c r="Q158" s="374">
        <f ca="1">SUM(Q154:OFFSET(Q154,ASS_COUNT_5-1,0))</f>
        <v>0</v>
      </c>
    </row>
    <row r="159" spans="1:5" s="298" customFormat="1" ht="10.5">
      <c r="A159" s="298" t="s">
        <v>227</v>
      </c>
      <c r="D159" s="299"/>
      <c r="E159" s="298" t="s">
        <v>237</v>
      </c>
    </row>
    <row r="160" spans="1:17" ht="10.5">
      <c r="A160" s="228"/>
      <c r="B160" s="228"/>
      <c r="C160" s="228"/>
      <c r="D160" s="297"/>
      <c r="E160" s="351">
        <f>SUM($E82:E82)-E134</f>
        <v>0</v>
      </c>
      <c r="F160" s="351">
        <f>SUM($E82:F82)-F134</f>
        <v>0</v>
      </c>
      <c r="G160" s="351">
        <f>SUM($E82:G82)-G134</f>
        <v>0</v>
      </c>
      <c r="H160" s="351">
        <f>SUM($E82:H82)-H134</f>
        <v>0</v>
      </c>
      <c r="I160" s="351">
        <f>SUM($E82:I82)-I134</f>
        <v>0</v>
      </c>
      <c r="J160" s="351">
        <f>SUM($E82:J82)-J134</f>
        <v>0</v>
      </c>
      <c r="K160" s="351">
        <f>SUM($E82:K82)-K134</f>
        <v>0</v>
      </c>
      <c r="L160" s="351">
        <f>SUM($E82:L82)-L134</f>
        <v>0</v>
      </c>
      <c r="M160" s="351">
        <f>SUM($E82:M82)-M134</f>
        <v>0</v>
      </c>
      <c r="N160" s="351">
        <f>SUM($E82:N82)-N134</f>
        <v>0</v>
      </c>
      <c r="O160" s="351">
        <f>SUM($E82:O82)-O134</f>
        <v>0</v>
      </c>
      <c r="P160" s="351">
        <f>SUM($E82:P82)-P134</f>
        <v>0</v>
      </c>
      <c r="Q160" s="351">
        <f>SUM($E82:Q82)-Q134</f>
        <v>0</v>
      </c>
    </row>
    <row r="161" spans="4:17" s="228" customFormat="1" ht="10.5">
      <c r="D161" s="297" t="s">
        <v>180</v>
      </c>
      <c r="E161" s="350">
        <f ca="1">SUM(E160:OFFSET(E160,ASS_COUNT_1-1,0))</f>
        <v>0</v>
      </c>
      <c r="F161" s="350">
        <f ca="1">SUM(F160:OFFSET(F160,ASS_COUNT_1-1,0))</f>
        <v>0</v>
      </c>
      <c r="G161" s="350">
        <f ca="1">SUM(G160:OFFSET(G160,ASS_COUNT_1-1,0))</f>
        <v>0</v>
      </c>
      <c r="H161" s="350">
        <f ca="1">SUM(H160:OFFSET(H160,ASS_COUNT_1-1,0))</f>
        <v>0</v>
      </c>
      <c r="I161" s="350">
        <f ca="1">SUM(I160:OFFSET(I160,ASS_COUNT_1-1,0))</f>
        <v>0</v>
      </c>
      <c r="J161" s="350">
        <f ca="1">SUM(J160:OFFSET(J160,ASS_COUNT_1-1,0))</f>
        <v>0</v>
      </c>
      <c r="K161" s="350">
        <f ca="1">SUM(K160:OFFSET(K160,ASS_COUNT_1-1,0))</f>
        <v>0</v>
      </c>
      <c r="L161" s="350">
        <f ca="1">SUM(L160:OFFSET(L160,ASS_COUNT_1-1,0))</f>
        <v>0</v>
      </c>
      <c r="M161" s="350">
        <f ca="1">SUM(M160:OFFSET(M160,ASS_COUNT_1-1,0))</f>
        <v>0</v>
      </c>
      <c r="N161" s="350">
        <f ca="1">SUM(N160:OFFSET(N160,ASS_COUNT_1-1,0))</f>
        <v>0</v>
      </c>
      <c r="O161" s="350">
        <f ca="1">SUM(O160:OFFSET(O160,ASS_COUNT_1-1,0))</f>
        <v>0</v>
      </c>
      <c r="P161" s="350">
        <f ca="1">SUM(P160:OFFSET(P160,ASS_COUNT_1-1,0))</f>
        <v>0</v>
      </c>
      <c r="Q161" s="350">
        <f ca="1">SUM(Q160:OFFSET(Q160,ASS_COUNT_1-1,0))</f>
        <v>0</v>
      </c>
    </row>
    <row r="162" spans="1:5" s="298" customFormat="1" ht="10.5">
      <c r="A162" s="298" t="s">
        <v>228</v>
      </c>
      <c r="D162" s="299"/>
      <c r="E162" s="298" t="s">
        <v>237</v>
      </c>
    </row>
    <row r="163" spans="1:17" ht="10.5">
      <c r="A163" s="228"/>
      <c r="B163" s="228"/>
      <c r="C163" s="228"/>
      <c r="D163" s="297"/>
      <c r="E163" s="351">
        <f>SUM($E85:E85)-E137</f>
        <v>0</v>
      </c>
      <c r="F163" s="351">
        <f>SUM($E85:F85)-F137</f>
        <v>100000</v>
      </c>
      <c r="G163" s="351">
        <f>SUM($E85:G85)-G137</f>
        <v>100000</v>
      </c>
      <c r="H163" s="351">
        <f>SUM($E85:H85)-H137</f>
        <v>100000</v>
      </c>
      <c r="I163" s="351">
        <f>SUM($E85:I85)-I137</f>
        <v>100000</v>
      </c>
      <c r="J163" s="351">
        <f>SUM($E85:J85)-J137</f>
        <v>100000</v>
      </c>
      <c r="K163" s="351">
        <f>SUM($E85:K85)-K137</f>
        <v>100000</v>
      </c>
      <c r="L163" s="351">
        <f>SUM($E85:L85)-L137</f>
        <v>100000</v>
      </c>
      <c r="M163" s="351">
        <f>SUM($E85:M85)-M137</f>
        <v>100000</v>
      </c>
      <c r="N163" s="351">
        <f>SUM($E85:N85)-N137</f>
        <v>100000</v>
      </c>
      <c r="O163" s="351">
        <f>SUM($E85:O85)-O137</f>
        <v>100000</v>
      </c>
      <c r="P163" s="351">
        <f>SUM($E85:P85)-P137</f>
        <v>100000</v>
      </c>
      <c r="Q163" s="351">
        <f>SUM($E85:Q85)-Q137</f>
        <v>100000</v>
      </c>
    </row>
    <row r="164" spans="1:17" ht="10.5">
      <c r="A164" s="228"/>
      <c r="B164" s="228"/>
      <c r="C164" s="228"/>
      <c r="D164" s="297"/>
      <c r="E164" s="351">
        <f>SUM($E86:E86)-E138</f>
        <v>0</v>
      </c>
      <c r="F164" s="351">
        <f>SUM($E86:F86)-F138</f>
        <v>0</v>
      </c>
      <c r="G164" s="351">
        <f>SUM($E86:G86)-G138</f>
        <v>0</v>
      </c>
      <c r="H164" s="351">
        <f>SUM($E86:H86)-H138</f>
        <v>0</v>
      </c>
      <c r="I164" s="351">
        <f>SUM($E86:I86)-I138</f>
        <v>0</v>
      </c>
      <c r="J164" s="351">
        <f>SUM($E86:J86)-J138</f>
        <v>0</v>
      </c>
      <c r="K164" s="351">
        <f>SUM($E86:K86)-K138</f>
        <v>0</v>
      </c>
      <c r="L164" s="351">
        <f>SUM($E86:L86)-L138</f>
        <v>0</v>
      </c>
      <c r="M164" s="351">
        <f>SUM($E86:M86)-M138</f>
        <v>0</v>
      </c>
      <c r="N164" s="351">
        <f>SUM($E86:N86)-N138</f>
        <v>0</v>
      </c>
      <c r="O164" s="351">
        <f>SUM($E86:O86)-O138</f>
        <v>0</v>
      </c>
      <c r="P164" s="351">
        <f>SUM($E86:P86)-P138</f>
        <v>0</v>
      </c>
      <c r="Q164" s="351">
        <f>SUM($E86:Q86)-Q138</f>
        <v>0</v>
      </c>
    </row>
    <row r="165" spans="1:17" ht="10.5">
      <c r="A165" s="228"/>
      <c r="B165" s="228"/>
      <c r="C165" s="228"/>
      <c r="D165" s="297"/>
      <c r="E165" s="351">
        <f>SUM($E87:E87)-E139</f>
        <v>0</v>
      </c>
      <c r="F165" s="351">
        <f>SUM($E87:F87)-F139</f>
        <v>0</v>
      </c>
      <c r="G165" s="351">
        <f>SUM($E87:G87)-G139</f>
        <v>0</v>
      </c>
      <c r="H165" s="351">
        <f>SUM($E87:H87)-H139</f>
        <v>0</v>
      </c>
      <c r="I165" s="351">
        <f>SUM($E87:I87)-I139</f>
        <v>0</v>
      </c>
      <c r="J165" s="351">
        <f>SUM($E87:J87)-J139</f>
        <v>0</v>
      </c>
      <c r="K165" s="351">
        <f>SUM($E87:K87)-K139</f>
        <v>0</v>
      </c>
      <c r="L165" s="351">
        <f>SUM($E87:L87)-L139</f>
        <v>0</v>
      </c>
      <c r="M165" s="351">
        <f>SUM($E87:M87)-M139</f>
        <v>0</v>
      </c>
      <c r="N165" s="351">
        <f>SUM($E87:N87)-N139</f>
        <v>0</v>
      </c>
      <c r="O165" s="351">
        <f>SUM($E87:O87)-O139</f>
        <v>0</v>
      </c>
      <c r="P165" s="351">
        <f>SUM($E87:P87)-P139</f>
        <v>0</v>
      </c>
      <c r="Q165" s="351">
        <f>SUM($E87:Q87)-Q139</f>
        <v>0</v>
      </c>
    </row>
    <row r="166" spans="1:17" ht="10.5">
      <c r="A166" s="228"/>
      <c r="B166" s="228"/>
      <c r="C166" s="228"/>
      <c r="D166" s="297"/>
      <c r="E166" s="351">
        <f>SUM($E88:E88)-E140</f>
        <v>0</v>
      </c>
      <c r="F166" s="351">
        <f>SUM($E88:F88)-F140</f>
        <v>0</v>
      </c>
      <c r="G166" s="351">
        <f>SUM($E88:G88)-G140</f>
        <v>0</v>
      </c>
      <c r="H166" s="351">
        <f>SUM($E88:H88)-H140</f>
        <v>0</v>
      </c>
      <c r="I166" s="351">
        <f>SUM($E88:I88)-I140</f>
        <v>0</v>
      </c>
      <c r="J166" s="351">
        <f>SUM($E88:J88)-J140</f>
        <v>0</v>
      </c>
      <c r="K166" s="351">
        <f>SUM($E88:K88)-K140</f>
        <v>0</v>
      </c>
      <c r="L166" s="351">
        <f>SUM($E88:L88)-L140</f>
        <v>0</v>
      </c>
      <c r="M166" s="351">
        <f>SUM($E88:M88)-M140</f>
        <v>0</v>
      </c>
      <c r="N166" s="351">
        <f>SUM($E88:N88)-N140</f>
        <v>0</v>
      </c>
      <c r="O166" s="351">
        <f>SUM($E88:O88)-O140</f>
        <v>0</v>
      </c>
      <c r="P166" s="351">
        <f>SUM($E88:P88)-P140</f>
        <v>0</v>
      </c>
      <c r="Q166" s="351">
        <f>SUM($E88:Q88)-Q140</f>
        <v>0</v>
      </c>
    </row>
    <row r="167" spans="4:17" s="228" customFormat="1" ht="10.5">
      <c r="D167" s="297" t="s">
        <v>180</v>
      </c>
      <c r="E167" s="350">
        <f ca="1">SUM(E163:OFFSET(E163,ASS_COUNT_2-1,0))</f>
        <v>0</v>
      </c>
      <c r="F167" s="350">
        <f ca="1">SUM(F163:OFFSET(F163,ASS_COUNT_2-1,0))</f>
        <v>100000</v>
      </c>
      <c r="G167" s="350">
        <f ca="1">SUM(G163:OFFSET(G163,ASS_COUNT_2-1,0))</f>
        <v>100000</v>
      </c>
      <c r="H167" s="350">
        <f ca="1">SUM(H163:OFFSET(H163,ASS_COUNT_2-1,0))</f>
        <v>100000</v>
      </c>
      <c r="I167" s="350">
        <f ca="1">SUM(I163:OFFSET(I163,ASS_COUNT_2-1,0))</f>
        <v>100000</v>
      </c>
      <c r="J167" s="350">
        <f ca="1">SUM(J163:OFFSET(J163,ASS_COUNT_2-1,0))</f>
        <v>100000</v>
      </c>
      <c r="K167" s="350">
        <f ca="1">SUM(K163:OFFSET(K163,ASS_COUNT_2-1,0))</f>
        <v>100000</v>
      </c>
      <c r="L167" s="350">
        <f ca="1">SUM(L163:OFFSET(L163,ASS_COUNT_2-1,0))</f>
        <v>100000</v>
      </c>
      <c r="M167" s="350">
        <f ca="1">SUM(M163:OFFSET(M163,ASS_COUNT_2-1,0))</f>
        <v>100000</v>
      </c>
      <c r="N167" s="350">
        <f ca="1">SUM(N163:OFFSET(N163,ASS_COUNT_2-1,0))</f>
        <v>100000</v>
      </c>
      <c r="O167" s="350">
        <f ca="1">SUM(O163:OFFSET(O163,ASS_COUNT_2-1,0))</f>
        <v>100000</v>
      </c>
      <c r="P167" s="350">
        <f ca="1">SUM(P163:OFFSET(P163,ASS_COUNT_2-1,0))</f>
        <v>100000</v>
      </c>
      <c r="Q167" s="350">
        <f ca="1">SUM(Q163:OFFSET(Q163,ASS_COUNT_2-1,0))</f>
        <v>100000</v>
      </c>
    </row>
    <row r="168" spans="1:5" s="298" customFormat="1" ht="10.5">
      <c r="A168" s="298" t="s">
        <v>229</v>
      </c>
      <c r="D168" s="299"/>
      <c r="E168" s="298" t="s">
        <v>237</v>
      </c>
    </row>
    <row r="169" spans="1:17" ht="10.5">
      <c r="A169" s="228"/>
      <c r="B169" s="228"/>
      <c r="C169" s="228"/>
      <c r="D169" s="297"/>
      <c r="E169" s="351">
        <f>SUM($E91:E91)-E143</f>
        <v>0</v>
      </c>
      <c r="F169" s="351">
        <f>SUM($E91:F91)-F143</f>
        <v>0</v>
      </c>
      <c r="G169" s="351">
        <f>SUM($E91:G91)-G143</f>
        <v>0</v>
      </c>
      <c r="H169" s="351">
        <f>SUM($E91:H91)-H143</f>
        <v>0</v>
      </c>
      <c r="I169" s="351">
        <f>SUM($E91:I91)-I143</f>
        <v>0</v>
      </c>
      <c r="J169" s="351">
        <f>SUM($E91:J91)-J143</f>
        <v>0</v>
      </c>
      <c r="K169" s="351">
        <f>SUM($E91:K91)-K143</f>
        <v>0</v>
      </c>
      <c r="L169" s="351">
        <f>SUM($E91:L91)-L143</f>
        <v>0</v>
      </c>
      <c r="M169" s="351">
        <f>SUM($E91:M91)-M143</f>
        <v>0</v>
      </c>
      <c r="N169" s="351">
        <f>SUM($E91:N91)-N143</f>
        <v>0</v>
      </c>
      <c r="O169" s="351">
        <f>SUM($E91:O91)-O143</f>
        <v>0</v>
      </c>
      <c r="P169" s="351">
        <f>SUM($E91:P91)-P143</f>
        <v>0</v>
      </c>
      <c r="Q169" s="351">
        <f>SUM($E91:Q91)-Q143</f>
        <v>0</v>
      </c>
    </row>
    <row r="170" spans="1:17" ht="10.5">
      <c r="A170" s="228"/>
      <c r="B170" s="228"/>
      <c r="C170" s="228"/>
      <c r="D170" s="297"/>
      <c r="E170" s="351">
        <f>SUM($E92:E92)-E144</f>
        <v>0</v>
      </c>
      <c r="F170" s="351">
        <f>SUM($E92:F92)-F144</f>
        <v>0</v>
      </c>
      <c r="G170" s="351">
        <f>SUM($E92:G92)-G144</f>
        <v>0</v>
      </c>
      <c r="H170" s="351">
        <f>SUM($E92:H92)-H144</f>
        <v>0</v>
      </c>
      <c r="I170" s="351">
        <f>SUM($E92:I92)-I144</f>
        <v>0</v>
      </c>
      <c r="J170" s="351">
        <f>SUM($E92:J92)-J144</f>
        <v>0</v>
      </c>
      <c r="K170" s="351">
        <f>SUM($E92:K92)-K144</f>
        <v>0</v>
      </c>
      <c r="L170" s="351">
        <f>SUM($E92:L92)-L144</f>
        <v>0</v>
      </c>
      <c r="M170" s="351">
        <f>SUM($E92:M92)-M144</f>
        <v>0</v>
      </c>
      <c r="N170" s="351">
        <f>SUM($E92:N92)-N144</f>
        <v>0</v>
      </c>
      <c r="O170" s="351">
        <f>SUM($E92:O92)-O144</f>
        <v>0</v>
      </c>
      <c r="P170" s="351">
        <f>SUM($E92:P92)-P144</f>
        <v>0</v>
      </c>
      <c r="Q170" s="351">
        <f>SUM($E92:Q92)-Q144</f>
        <v>0</v>
      </c>
    </row>
    <row r="171" spans="4:17" s="228" customFormat="1" ht="10.5">
      <c r="D171" s="297" t="s">
        <v>180</v>
      </c>
      <c r="E171" s="350">
        <f ca="1">SUM(E169:OFFSET(E169,ASS_COUNT_3-1,0))</f>
        <v>0</v>
      </c>
      <c r="F171" s="350">
        <f ca="1">SUM(F169:OFFSET(F169,ASS_COUNT_3-1,0))</f>
        <v>0</v>
      </c>
      <c r="G171" s="350">
        <f ca="1">SUM(G169:OFFSET(G169,ASS_COUNT_3-1,0))</f>
        <v>0</v>
      </c>
      <c r="H171" s="350">
        <f ca="1">SUM(H169:OFFSET(H169,ASS_COUNT_3-1,0))</f>
        <v>0</v>
      </c>
      <c r="I171" s="350">
        <f ca="1">SUM(I169:OFFSET(I169,ASS_COUNT_3-1,0))</f>
        <v>0</v>
      </c>
      <c r="J171" s="350">
        <f ca="1">SUM(J169:OFFSET(J169,ASS_COUNT_3-1,0))</f>
        <v>0</v>
      </c>
      <c r="K171" s="350">
        <f ca="1">SUM(K169:OFFSET(K169,ASS_COUNT_3-1,0))</f>
        <v>0</v>
      </c>
      <c r="L171" s="350">
        <f ca="1">SUM(L169:OFFSET(L169,ASS_COUNT_3-1,0))</f>
        <v>0</v>
      </c>
      <c r="M171" s="350">
        <f ca="1">SUM(M169:OFFSET(M169,ASS_COUNT_3-1,0))</f>
        <v>0</v>
      </c>
      <c r="N171" s="350">
        <f ca="1">SUM(N169:OFFSET(N169,ASS_COUNT_3-1,0))</f>
        <v>0</v>
      </c>
      <c r="O171" s="350">
        <f ca="1">SUM(O169:OFFSET(O169,ASS_COUNT_3-1,0))</f>
        <v>0</v>
      </c>
      <c r="P171" s="350">
        <f ca="1">SUM(P169:OFFSET(P169,ASS_COUNT_3-1,0))</f>
        <v>0</v>
      </c>
      <c r="Q171" s="350">
        <f ca="1">SUM(Q169:OFFSET(Q169,ASS_COUNT_3-1,0))</f>
        <v>0</v>
      </c>
    </row>
    <row r="172" spans="1:5" s="298" customFormat="1" ht="10.5">
      <c r="A172" s="298" t="s">
        <v>230</v>
      </c>
      <c r="D172" s="299"/>
      <c r="E172" s="298" t="s">
        <v>237</v>
      </c>
    </row>
    <row r="173" spans="1:17" ht="10.5">
      <c r="A173" s="228"/>
      <c r="B173" s="228"/>
      <c r="C173" s="228"/>
      <c r="D173" s="297"/>
      <c r="E173" s="351">
        <f>SUM($E95:E95)-E147</f>
        <v>0</v>
      </c>
      <c r="F173" s="351">
        <f>SUM($E95:F95)-F147</f>
        <v>60000</v>
      </c>
      <c r="G173" s="351">
        <f>SUM($E95:G95)-G147</f>
        <v>60000</v>
      </c>
      <c r="H173" s="351">
        <f>SUM($E95:H95)-H147</f>
        <v>60000</v>
      </c>
      <c r="I173" s="351">
        <f>SUM($E95:I95)-I147</f>
        <v>60000</v>
      </c>
      <c r="J173" s="351">
        <f>SUM($E95:J95)-J147</f>
        <v>60000</v>
      </c>
      <c r="K173" s="351">
        <f>SUM($E95:K95)-K147</f>
        <v>60000</v>
      </c>
      <c r="L173" s="351">
        <f>SUM($E95:L95)-L147</f>
        <v>60000</v>
      </c>
      <c r="M173" s="351">
        <f>SUM($E95:M95)-M147</f>
        <v>60000</v>
      </c>
      <c r="N173" s="351">
        <f>SUM($E95:N95)-N147</f>
        <v>60000</v>
      </c>
      <c r="O173" s="351">
        <f>SUM($E95:O95)-O147</f>
        <v>60000</v>
      </c>
      <c r="P173" s="351">
        <f>SUM($E95:P95)-P147</f>
        <v>60000</v>
      </c>
      <c r="Q173" s="351">
        <f>SUM($E95:Q95)-Q147</f>
        <v>60000</v>
      </c>
    </row>
    <row r="174" spans="1:17" ht="10.5">
      <c r="A174" s="228"/>
      <c r="B174" s="228"/>
      <c r="C174" s="228"/>
      <c r="D174" s="297"/>
      <c r="E174" s="351">
        <f>SUM($E96:E96)-E148</f>
        <v>0</v>
      </c>
      <c r="F174" s="351">
        <f>SUM($E96:F96)-F148</f>
        <v>0</v>
      </c>
      <c r="G174" s="351">
        <f>SUM($E96:G96)-G148</f>
        <v>0</v>
      </c>
      <c r="H174" s="351">
        <f>SUM($E96:H96)-H148</f>
        <v>0</v>
      </c>
      <c r="I174" s="351">
        <f>SUM($E96:I96)-I148</f>
        <v>0</v>
      </c>
      <c r="J174" s="351">
        <f>SUM($E96:J96)-J148</f>
        <v>0</v>
      </c>
      <c r="K174" s="351">
        <f>SUM($E96:K96)-K148</f>
        <v>0</v>
      </c>
      <c r="L174" s="351">
        <f>SUM($E96:L96)-L148</f>
        <v>0</v>
      </c>
      <c r="M174" s="351">
        <f>SUM($E96:M96)-M148</f>
        <v>0</v>
      </c>
      <c r="N174" s="351">
        <f>SUM($E96:N96)-N148</f>
        <v>0</v>
      </c>
      <c r="O174" s="351">
        <f>SUM($E96:O96)-O148</f>
        <v>0</v>
      </c>
      <c r="P174" s="351">
        <f>SUM($E96:P96)-P148</f>
        <v>0</v>
      </c>
      <c r="Q174" s="351">
        <f>SUM($E96:Q96)-Q148</f>
        <v>0</v>
      </c>
    </row>
    <row r="175" spans="1:17" ht="10.5">
      <c r="A175" s="228"/>
      <c r="B175" s="228"/>
      <c r="C175" s="228"/>
      <c r="D175" s="297"/>
      <c r="E175" s="351">
        <f>SUM($E97:E97)-E149</f>
        <v>0</v>
      </c>
      <c r="F175" s="351">
        <f>SUM($E97:F97)-F149</f>
        <v>0</v>
      </c>
      <c r="G175" s="351">
        <f>SUM($E97:G97)-G149</f>
        <v>0</v>
      </c>
      <c r="H175" s="351">
        <f>SUM($E97:H97)-H149</f>
        <v>0</v>
      </c>
      <c r="I175" s="351">
        <f>SUM($E97:I97)-I149</f>
        <v>0</v>
      </c>
      <c r="J175" s="351">
        <f>SUM($E97:J97)-J149</f>
        <v>0</v>
      </c>
      <c r="K175" s="351">
        <f>SUM($E97:K97)-K149</f>
        <v>0</v>
      </c>
      <c r="L175" s="351">
        <f>SUM($E97:L97)-L149</f>
        <v>0</v>
      </c>
      <c r="M175" s="351">
        <f>SUM($E97:M97)-M149</f>
        <v>0</v>
      </c>
      <c r="N175" s="351">
        <f>SUM($E97:N97)-N149</f>
        <v>0</v>
      </c>
      <c r="O175" s="351">
        <f>SUM($E97:O97)-O149</f>
        <v>0</v>
      </c>
      <c r="P175" s="351">
        <f>SUM($E97:P97)-P149</f>
        <v>0</v>
      </c>
      <c r="Q175" s="351">
        <f>SUM($E97:Q97)-Q149</f>
        <v>0</v>
      </c>
    </row>
    <row r="176" spans="1:17" ht="10.5">
      <c r="A176" s="228"/>
      <c r="B176" s="228"/>
      <c r="C176" s="228"/>
      <c r="D176" s="297"/>
      <c r="E176" s="351">
        <f>SUM($E98:E98)-E150</f>
        <v>0</v>
      </c>
      <c r="F176" s="351">
        <f>SUM($E98:F98)-F150</f>
        <v>0</v>
      </c>
      <c r="G176" s="351">
        <f>SUM($E98:G98)-G150</f>
        <v>0</v>
      </c>
      <c r="H176" s="351">
        <f>SUM($E98:H98)-H150</f>
        <v>0</v>
      </c>
      <c r="I176" s="351">
        <f>SUM($E98:I98)-I150</f>
        <v>0</v>
      </c>
      <c r="J176" s="351">
        <f>SUM($E98:J98)-J150</f>
        <v>0</v>
      </c>
      <c r="K176" s="351">
        <f>SUM($E98:K98)-K150</f>
        <v>0</v>
      </c>
      <c r="L176" s="351">
        <f>SUM($E98:L98)-L150</f>
        <v>0</v>
      </c>
      <c r="M176" s="351">
        <f>SUM($E98:M98)-M150</f>
        <v>0</v>
      </c>
      <c r="N176" s="351">
        <f>SUM($E98:N98)-N150</f>
        <v>0</v>
      </c>
      <c r="O176" s="351">
        <f>SUM($E98:O98)-O150</f>
        <v>0</v>
      </c>
      <c r="P176" s="351">
        <f>SUM($E98:P98)-P150</f>
        <v>0</v>
      </c>
      <c r="Q176" s="351">
        <f>SUM($E98:Q98)-Q150</f>
        <v>0</v>
      </c>
    </row>
    <row r="177" spans="1:17" ht="10.5">
      <c r="A177" s="228"/>
      <c r="B177" s="228"/>
      <c r="C177" s="228"/>
      <c r="D177" s="297"/>
      <c r="E177" s="351">
        <f>SUM($E99:E99)-E151</f>
        <v>0</v>
      </c>
      <c r="F177" s="351">
        <f>SUM($E99:F99)-F151</f>
        <v>0</v>
      </c>
      <c r="G177" s="351">
        <f>SUM($E99:G99)-G151</f>
        <v>0</v>
      </c>
      <c r="H177" s="351">
        <f>SUM($E99:H99)-H151</f>
        <v>0</v>
      </c>
      <c r="I177" s="351">
        <f>SUM($E99:I99)-I151</f>
        <v>0</v>
      </c>
      <c r="J177" s="351">
        <f>SUM($E99:J99)-J151</f>
        <v>0</v>
      </c>
      <c r="K177" s="351">
        <f>SUM($E99:K99)-K151</f>
        <v>0</v>
      </c>
      <c r="L177" s="351">
        <f>SUM($E99:L99)-L151</f>
        <v>0</v>
      </c>
      <c r="M177" s="351">
        <f>SUM($E99:M99)-M151</f>
        <v>0</v>
      </c>
      <c r="N177" s="351">
        <f>SUM($E99:N99)-N151</f>
        <v>0</v>
      </c>
      <c r="O177" s="351">
        <f>SUM($E99:O99)-O151</f>
        <v>0</v>
      </c>
      <c r="P177" s="351">
        <f>SUM($E99:P99)-P151</f>
        <v>0</v>
      </c>
      <c r="Q177" s="351">
        <f>SUM($E99:Q99)-Q151</f>
        <v>0</v>
      </c>
    </row>
    <row r="178" spans="4:17" s="228" customFormat="1" ht="10.5">
      <c r="D178" s="297" t="s">
        <v>180</v>
      </c>
      <c r="E178" s="350">
        <f ca="1">SUM(E173:OFFSET(E173,ASS_COUNT_4-1,0))</f>
        <v>0</v>
      </c>
      <c r="F178" s="350">
        <f ca="1">SUM(F173:OFFSET(F173,ASS_COUNT_4-1,0))</f>
        <v>60000</v>
      </c>
      <c r="G178" s="350">
        <f ca="1">SUM(G173:OFFSET(G173,ASS_COUNT_4-1,0))</f>
        <v>60000</v>
      </c>
      <c r="H178" s="350">
        <f ca="1">SUM(H173:OFFSET(H173,ASS_COUNT_4-1,0))</f>
        <v>60000</v>
      </c>
      <c r="I178" s="350">
        <f ca="1">SUM(I173:OFFSET(I173,ASS_COUNT_4-1,0))</f>
        <v>60000</v>
      </c>
      <c r="J178" s="350">
        <f ca="1">SUM(J173:OFFSET(J173,ASS_COUNT_4-1,0))</f>
        <v>60000</v>
      </c>
      <c r="K178" s="350">
        <f ca="1">SUM(K173:OFFSET(K173,ASS_COUNT_4-1,0))</f>
        <v>60000</v>
      </c>
      <c r="L178" s="350">
        <f ca="1">SUM(L173:OFFSET(L173,ASS_COUNT_4-1,0))</f>
        <v>60000</v>
      </c>
      <c r="M178" s="350">
        <f ca="1">SUM(M173:OFFSET(M173,ASS_COUNT_4-1,0))</f>
        <v>60000</v>
      </c>
      <c r="N178" s="350">
        <f ca="1">SUM(N173:OFFSET(N173,ASS_COUNT_4-1,0))</f>
        <v>60000</v>
      </c>
      <c r="O178" s="350">
        <f ca="1">SUM(O173:OFFSET(O173,ASS_COUNT_4-1,0))</f>
        <v>60000</v>
      </c>
      <c r="P178" s="350">
        <f ca="1">SUM(P173:OFFSET(P173,ASS_COUNT_4-1,0))</f>
        <v>60000</v>
      </c>
      <c r="Q178" s="350">
        <f ca="1">SUM(Q173:OFFSET(Q173,ASS_COUNT_4-1,0))</f>
        <v>60000</v>
      </c>
    </row>
    <row r="179" spans="1:5" s="298" customFormat="1" ht="10.5">
      <c r="A179" s="298" t="s">
        <v>231</v>
      </c>
      <c r="D179" s="299"/>
      <c r="E179" s="298" t="s">
        <v>237</v>
      </c>
    </row>
    <row r="180" spans="1:17" ht="10.5">
      <c r="A180" s="228"/>
      <c r="B180" s="228"/>
      <c r="C180" s="228"/>
      <c r="D180" s="297"/>
      <c r="E180" s="351">
        <f>SUM($E102:E102)-E154</f>
        <v>0</v>
      </c>
      <c r="F180" s="351">
        <f>SUM($E102:F102)-F154</f>
        <v>100000</v>
      </c>
      <c r="G180" s="351">
        <f>SUM($E102:G102)-G154</f>
        <v>100000</v>
      </c>
      <c r="H180" s="351">
        <f>SUM($E102:H102)-H154</f>
        <v>100000</v>
      </c>
      <c r="I180" s="351">
        <f>SUM($E102:I102)-I154</f>
        <v>100000</v>
      </c>
      <c r="J180" s="351">
        <f>SUM($E102:J102)-J154</f>
        <v>100000</v>
      </c>
      <c r="K180" s="351">
        <f>SUM($E102:K102)-K154</f>
        <v>100000</v>
      </c>
      <c r="L180" s="351">
        <f>SUM($E102:L102)-L154</f>
        <v>100000</v>
      </c>
      <c r="M180" s="351">
        <f>SUM($E102:M102)-M154</f>
        <v>100000</v>
      </c>
      <c r="N180" s="351">
        <f>SUM($E102:N102)-N154</f>
        <v>100000</v>
      </c>
      <c r="O180" s="351">
        <f>SUM($E102:O102)-O154</f>
        <v>100000</v>
      </c>
      <c r="P180" s="351">
        <f>SUM($E102:P102)-P154</f>
        <v>100000</v>
      </c>
      <c r="Q180" s="351">
        <f>SUM($E102:Q102)-Q154</f>
        <v>100000</v>
      </c>
    </row>
    <row r="181" spans="1:17" ht="10.5">
      <c r="A181" s="228"/>
      <c r="B181" s="228"/>
      <c r="C181" s="228"/>
      <c r="D181" s="297"/>
      <c r="E181" s="351">
        <f>SUM($E103:E103)-E155</f>
        <v>0</v>
      </c>
      <c r="F181" s="351">
        <f>SUM($E103:F103)-F155</f>
        <v>50000</v>
      </c>
      <c r="G181" s="351">
        <f>SUM($E103:G103)-G155</f>
        <v>50000</v>
      </c>
      <c r="H181" s="351">
        <f>SUM($E103:H103)-H155</f>
        <v>50000</v>
      </c>
      <c r="I181" s="351">
        <f>SUM($E103:I103)-I155</f>
        <v>50000</v>
      </c>
      <c r="J181" s="351">
        <f>SUM($E103:J103)-J155</f>
        <v>50000</v>
      </c>
      <c r="K181" s="351">
        <f>SUM($E103:K103)-K155</f>
        <v>50000</v>
      </c>
      <c r="L181" s="351">
        <f>SUM($E103:L103)-L155</f>
        <v>50000</v>
      </c>
      <c r="M181" s="351">
        <f>SUM($E103:M103)-M155</f>
        <v>50000</v>
      </c>
      <c r="N181" s="351">
        <f>SUM($E103:N103)-N155</f>
        <v>50000</v>
      </c>
      <c r="O181" s="351">
        <f>SUM($E103:O103)-O155</f>
        <v>50000</v>
      </c>
      <c r="P181" s="351">
        <f>SUM($E103:P103)-P155</f>
        <v>50000</v>
      </c>
      <c r="Q181" s="351">
        <f>SUM($E103:Q103)-Q155</f>
        <v>50000</v>
      </c>
    </row>
    <row r="182" spans="1:17" ht="10.5">
      <c r="A182" s="228"/>
      <c r="B182" s="228"/>
      <c r="C182" s="228"/>
      <c r="D182" s="297"/>
      <c r="E182" s="351">
        <f>SUM($E104:E104)-E156</f>
        <v>0</v>
      </c>
      <c r="F182" s="351">
        <f>SUM($E104:F104)-F156</f>
        <v>100000</v>
      </c>
      <c r="G182" s="351">
        <f>SUM($E104:G104)-G156</f>
        <v>100000</v>
      </c>
      <c r="H182" s="351">
        <f>SUM($E104:H104)-H156</f>
        <v>100000</v>
      </c>
      <c r="I182" s="351">
        <f>SUM($E104:I104)-I156</f>
        <v>100000</v>
      </c>
      <c r="J182" s="351">
        <f>SUM($E104:J104)-J156</f>
        <v>100000</v>
      </c>
      <c r="K182" s="351">
        <f>SUM($E104:K104)-K156</f>
        <v>100000</v>
      </c>
      <c r="L182" s="351">
        <f>SUM($E104:L104)-L156</f>
        <v>100000</v>
      </c>
      <c r="M182" s="351">
        <f>SUM($E104:M104)-M156</f>
        <v>100000</v>
      </c>
      <c r="N182" s="351">
        <f>SUM($E104:N104)-N156</f>
        <v>100000</v>
      </c>
      <c r="O182" s="351">
        <f>SUM($E104:O104)-O156</f>
        <v>100000</v>
      </c>
      <c r="P182" s="351">
        <f>SUM($E104:P104)-P156</f>
        <v>100000</v>
      </c>
      <c r="Q182" s="351">
        <f>SUM($E104:Q104)-Q156</f>
        <v>100000</v>
      </c>
    </row>
    <row r="183" spans="1:17" ht="10.5">
      <c r="A183" s="228"/>
      <c r="B183" s="228"/>
      <c r="C183" s="228"/>
      <c r="D183" s="297"/>
      <c r="E183" s="351">
        <f>SUM($E105:E105)-E157</f>
        <v>0</v>
      </c>
      <c r="F183" s="351">
        <f>SUM($E105:F105)-F157</f>
        <v>0</v>
      </c>
      <c r="G183" s="351">
        <f>SUM($E105:G105)-G157</f>
        <v>0</v>
      </c>
      <c r="H183" s="351">
        <f>SUM($E105:H105)-H157</f>
        <v>0</v>
      </c>
      <c r="I183" s="351">
        <f>SUM($E105:I105)-I157</f>
        <v>0</v>
      </c>
      <c r="J183" s="351">
        <f>SUM($E105:J105)-J157</f>
        <v>0</v>
      </c>
      <c r="K183" s="351">
        <f>SUM($E105:K105)-K157</f>
        <v>0</v>
      </c>
      <c r="L183" s="351">
        <f>SUM($E105:L105)-L157</f>
        <v>0</v>
      </c>
      <c r="M183" s="351">
        <f>SUM($E105:M105)-M157</f>
        <v>0</v>
      </c>
      <c r="N183" s="351">
        <f>SUM($E105:N105)-N157</f>
        <v>0</v>
      </c>
      <c r="O183" s="351">
        <f>SUM($E105:O105)-O157</f>
        <v>0</v>
      </c>
      <c r="P183" s="351">
        <f>SUM($E105:P105)-P157</f>
        <v>0</v>
      </c>
      <c r="Q183" s="351">
        <f>SUM($E105:Q105)-Q157</f>
        <v>0</v>
      </c>
    </row>
    <row r="184" spans="4:17" s="306" customFormat="1" ht="10.5">
      <c r="D184" s="307" t="s">
        <v>180</v>
      </c>
      <c r="E184" s="374">
        <f ca="1">SUM(E180:OFFSET(E180,ASS_COUNT_5-1,0))</f>
        <v>0</v>
      </c>
      <c r="F184" s="374">
        <f ca="1">SUM(F180:OFFSET(F180,ASS_COUNT_5-1,0))</f>
        <v>250000</v>
      </c>
      <c r="G184" s="374">
        <f ca="1">SUM(G180:OFFSET(G180,ASS_COUNT_5-1,0))</f>
        <v>250000</v>
      </c>
      <c r="H184" s="374">
        <f ca="1">SUM(H180:OFFSET(H180,ASS_COUNT_5-1,0))</f>
        <v>250000</v>
      </c>
      <c r="I184" s="374">
        <f ca="1">SUM(I180:OFFSET(I180,ASS_COUNT_5-1,0))</f>
        <v>250000</v>
      </c>
      <c r="J184" s="374">
        <f ca="1">SUM(J180:OFFSET(J180,ASS_COUNT_5-1,0))</f>
        <v>250000</v>
      </c>
      <c r="K184" s="374">
        <f ca="1">SUM(K180:OFFSET(K180,ASS_COUNT_5-1,0))</f>
        <v>250000</v>
      </c>
      <c r="L184" s="374">
        <f ca="1">SUM(L180:OFFSET(L180,ASS_COUNT_5-1,0))</f>
        <v>250000</v>
      </c>
      <c r="M184" s="374">
        <f ca="1">SUM(M180:OFFSET(M180,ASS_COUNT_5-1,0))</f>
        <v>250000</v>
      </c>
      <c r="N184" s="374">
        <f ca="1">SUM(N180:OFFSET(N180,ASS_COUNT_5-1,0))</f>
        <v>250000</v>
      </c>
      <c r="O184" s="374">
        <f ca="1">SUM(O180:OFFSET(O180,ASS_COUNT_5-1,0))</f>
        <v>250000</v>
      </c>
      <c r="P184" s="374">
        <f ca="1">SUM(P180:OFFSET(P180,ASS_COUNT_5-1,0))</f>
        <v>250000</v>
      </c>
      <c r="Q184" s="374">
        <f ca="1">SUM(Q180:OFFSET(Q180,ASS_COUNT_5-1,0))</f>
        <v>250000</v>
      </c>
    </row>
    <row r="185" spans="1:5" s="298" customFormat="1" ht="10.5">
      <c r="A185" s="298" t="s">
        <v>227</v>
      </c>
      <c r="D185" s="299"/>
      <c r="E185" s="298" t="s">
        <v>340</v>
      </c>
    </row>
    <row r="186" spans="1:17" ht="10.5">
      <c r="A186" s="228"/>
      <c r="B186" s="228"/>
      <c r="C186" s="228"/>
      <c r="D186" s="297"/>
      <c r="E186" s="351">
        <f>E160*$B108</f>
        <v>0</v>
      </c>
      <c r="F186" s="351">
        <f aca="true" t="shared" si="25" ref="F186:Q186">MIN(F160*$B108,E212)</f>
        <v>0</v>
      </c>
      <c r="G186" s="351">
        <f t="shared" si="25"/>
        <v>0</v>
      </c>
      <c r="H186" s="351">
        <f t="shared" si="25"/>
        <v>0</v>
      </c>
      <c r="I186" s="351">
        <f t="shared" si="25"/>
        <v>0</v>
      </c>
      <c r="J186" s="351">
        <f t="shared" si="25"/>
        <v>0</v>
      </c>
      <c r="K186" s="351">
        <f t="shared" si="25"/>
        <v>0</v>
      </c>
      <c r="L186" s="351">
        <f t="shared" si="25"/>
        <v>0</v>
      </c>
      <c r="M186" s="351">
        <f t="shared" si="25"/>
        <v>0</v>
      </c>
      <c r="N186" s="351">
        <f t="shared" si="25"/>
        <v>0</v>
      </c>
      <c r="O186" s="351">
        <f t="shared" si="25"/>
        <v>0</v>
      </c>
      <c r="P186" s="351">
        <f t="shared" si="25"/>
        <v>0</v>
      </c>
      <c r="Q186" s="351">
        <f t="shared" si="25"/>
        <v>0</v>
      </c>
    </row>
    <row r="187" spans="4:17" s="228" customFormat="1" ht="10.5">
      <c r="D187" s="297" t="s">
        <v>180</v>
      </c>
      <c r="E187" s="350">
        <f ca="1">SUM(E186:OFFSET(E186,ASS_COUNT_1-1,0))</f>
        <v>0</v>
      </c>
      <c r="F187" s="350">
        <f ca="1">SUM(F186:OFFSET(F186,ASS_COUNT_1-1,0))</f>
        <v>0</v>
      </c>
      <c r="G187" s="350">
        <f ca="1">SUM(G186:OFFSET(G186,ASS_COUNT_1-1,0))</f>
        <v>0</v>
      </c>
      <c r="H187" s="350">
        <f ca="1">SUM(H186:OFFSET(H186,ASS_COUNT_1-1,0))</f>
        <v>0</v>
      </c>
      <c r="I187" s="350">
        <f ca="1">SUM(I186:OFFSET(I186,ASS_COUNT_1-1,0))</f>
        <v>0</v>
      </c>
      <c r="J187" s="350">
        <f ca="1">SUM(J186:OFFSET(J186,ASS_COUNT_1-1,0))</f>
        <v>0</v>
      </c>
      <c r="K187" s="350">
        <f ca="1">SUM(K186:OFFSET(K186,ASS_COUNT_1-1,0))</f>
        <v>0</v>
      </c>
      <c r="L187" s="350">
        <f ca="1">SUM(L186:OFFSET(L186,ASS_COUNT_1-1,0))</f>
        <v>0</v>
      </c>
      <c r="M187" s="350">
        <f ca="1">SUM(M186:OFFSET(M186,ASS_COUNT_1-1,0))</f>
        <v>0</v>
      </c>
      <c r="N187" s="350">
        <f ca="1">SUM(N186:OFFSET(N186,ASS_COUNT_1-1,0))</f>
        <v>0</v>
      </c>
      <c r="O187" s="350">
        <f ca="1">SUM(O186:OFFSET(O186,ASS_COUNT_1-1,0))</f>
        <v>0</v>
      </c>
      <c r="P187" s="350">
        <f ca="1">SUM(P186:OFFSET(P186,ASS_COUNT_1-1,0))</f>
        <v>0</v>
      </c>
      <c r="Q187" s="350">
        <f ca="1">SUM(Q186:OFFSET(Q186,ASS_COUNT_1-1,0))</f>
        <v>0</v>
      </c>
    </row>
    <row r="188" spans="1:5" s="298" customFormat="1" ht="10.5">
      <c r="A188" s="298" t="s">
        <v>228</v>
      </c>
      <c r="D188" s="299"/>
      <c r="E188" s="298" t="s">
        <v>340</v>
      </c>
    </row>
    <row r="189" spans="1:17" ht="10.5">
      <c r="A189" s="228"/>
      <c r="B189" s="228"/>
      <c r="C189" s="228"/>
      <c r="D189" s="297"/>
      <c r="E189" s="351">
        <f>E163*$B111</f>
        <v>0</v>
      </c>
      <c r="F189" s="351">
        <f aca="true" t="shared" si="26" ref="F189:Q189">MIN(F163*$B111,E215)</f>
        <v>0</v>
      </c>
      <c r="G189" s="351">
        <f t="shared" si="26"/>
        <v>1666.6666666666667</v>
      </c>
      <c r="H189" s="351">
        <f t="shared" si="26"/>
        <v>1666.6666666666667</v>
      </c>
      <c r="I189" s="351">
        <f t="shared" si="26"/>
        <v>1666.6666666666667</v>
      </c>
      <c r="J189" s="351">
        <f t="shared" si="26"/>
        <v>1666.6666666666667</v>
      </c>
      <c r="K189" s="351">
        <f t="shared" si="26"/>
        <v>1666.6666666666667</v>
      </c>
      <c r="L189" s="351">
        <f t="shared" si="26"/>
        <v>1666.6666666666667</v>
      </c>
      <c r="M189" s="351">
        <f t="shared" si="26"/>
        <v>1666.6666666666667</v>
      </c>
      <c r="N189" s="351">
        <f t="shared" si="26"/>
        <v>1666.6666666666667</v>
      </c>
      <c r="O189" s="351">
        <f t="shared" si="26"/>
        <v>1666.6666666666667</v>
      </c>
      <c r="P189" s="351">
        <f t="shared" si="26"/>
        <v>1666.6666666666667</v>
      </c>
      <c r="Q189" s="351">
        <f t="shared" si="26"/>
        <v>1666.6666666666667</v>
      </c>
    </row>
    <row r="190" spans="1:17" ht="10.5">
      <c r="A190" s="228"/>
      <c r="B190" s="228"/>
      <c r="C190" s="228"/>
      <c r="D190" s="297"/>
      <c r="E190" s="351">
        <f>E164*$B112</f>
        <v>0</v>
      </c>
      <c r="F190" s="351">
        <f aca="true" t="shared" si="27" ref="F190:Q190">MIN(F164*$B112,E216)</f>
        <v>0</v>
      </c>
      <c r="G190" s="351">
        <f t="shared" si="27"/>
        <v>0</v>
      </c>
      <c r="H190" s="351">
        <f t="shared" si="27"/>
        <v>0</v>
      </c>
      <c r="I190" s="351">
        <f t="shared" si="27"/>
        <v>0</v>
      </c>
      <c r="J190" s="351">
        <f t="shared" si="27"/>
        <v>0</v>
      </c>
      <c r="K190" s="351">
        <f t="shared" si="27"/>
        <v>0</v>
      </c>
      <c r="L190" s="351">
        <f t="shared" si="27"/>
        <v>0</v>
      </c>
      <c r="M190" s="351">
        <f t="shared" si="27"/>
        <v>0</v>
      </c>
      <c r="N190" s="351">
        <f t="shared" si="27"/>
        <v>0</v>
      </c>
      <c r="O190" s="351">
        <f t="shared" si="27"/>
        <v>0</v>
      </c>
      <c r="P190" s="351">
        <f t="shared" si="27"/>
        <v>0</v>
      </c>
      <c r="Q190" s="351">
        <f t="shared" si="27"/>
        <v>0</v>
      </c>
    </row>
    <row r="191" spans="1:17" ht="10.5">
      <c r="A191" s="228"/>
      <c r="B191" s="228"/>
      <c r="C191" s="228"/>
      <c r="D191" s="297"/>
      <c r="E191" s="351">
        <f>E165*$B113</f>
        <v>0</v>
      </c>
      <c r="F191" s="351">
        <f aca="true" t="shared" si="28" ref="F191:Q191">MIN(F165*$B113,E217)</f>
        <v>0</v>
      </c>
      <c r="G191" s="351">
        <f t="shared" si="28"/>
        <v>0</v>
      </c>
      <c r="H191" s="351">
        <f t="shared" si="28"/>
        <v>0</v>
      </c>
      <c r="I191" s="351">
        <f t="shared" si="28"/>
        <v>0</v>
      </c>
      <c r="J191" s="351">
        <f t="shared" si="28"/>
        <v>0</v>
      </c>
      <c r="K191" s="351">
        <f t="shared" si="28"/>
        <v>0</v>
      </c>
      <c r="L191" s="351">
        <f t="shared" si="28"/>
        <v>0</v>
      </c>
      <c r="M191" s="351">
        <f t="shared" si="28"/>
        <v>0</v>
      </c>
      <c r="N191" s="351">
        <f t="shared" si="28"/>
        <v>0</v>
      </c>
      <c r="O191" s="351">
        <f t="shared" si="28"/>
        <v>0</v>
      </c>
      <c r="P191" s="351">
        <f t="shared" si="28"/>
        <v>0</v>
      </c>
      <c r="Q191" s="351">
        <f t="shared" si="28"/>
        <v>0</v>
      </c>
    </row>
    <row r="192" spans="1:17" ht="10.5">
      <c r="A192" s="228"/>
      <c r="B192" s="228"/>
      <c r="C192" s="228"/>
      <c r="D192" s="297"/>
      <c r="E192" s="351">
        <f>E166*$B114</f>
        <v>0</v>
      </c>
      <c r="F192" s="351">
        <f aca="true" t="shared" si="29" ref="F192:Q192">MIN(F166*$B114,E218)</f>
        <v>0</v>
      </c>
      <c r="G192" s="351">
        <f t="shared" si="29"/>
        <v>0</v>
      </c>
      <c r="H192" s="351">
        <f t="shared" si="29"/>
        <v>0</v>
      </c>
      <c r="I192" s="351">
        <f t="shared" si="29"/>
        <v>0</v>
      </c>
      <c r="J192" s="351">
        <f t="shared" si="29"/>
        <v>0</v>
      </c>
      <c r="K192" s="351">
        <f t="shared" si="29"/>
        <v>0</v>
      </c>
      <c r="L192" s="351">
        <f t="shared" si="29"/>
        <v>0</v>
      </c>
      <c r="M192" s="351">
        <f t="shared" si="29"/>
        <v>0</v>
      </c>
      <c r="N192" s="351">
        <f t="shared" si="29"/>
        <v>0</v>
      </c>
      <c r="O192" s="351">
        <f t="shared" si="29"/>
        <v>0</v>
      </c>
      <c r="P192" s="351">
        <f t="shared" si="29"/>
        <v>0</v>
      </c>
      <c r="Q192" s="351">
        <f t="shared" si="29"/>
        <v>0</v>
      </c>
    </row>
    <row r="193" spans="4:17" s="228" customFormat="1" ht="10.5">
      <c r="D193" s="297" t="s">
        <v>180</v>
      </c>
      <c r="E193" s="350">
        <f ca="1">SUM(E189:OFFSET(E189,ASS_COUNT_2-1,0))</f>
        <v>0</v>
      </c>
      <c r="F193" s="350">
        <f ca="1">SUM(F189:OFFSET(F189,ASS_COUNT_2-1,0))</f>
        <v>0</v>
      </c>
      <c r="G193" s="350">
        <f ca="1">SUM(G189:OFFSET(G189,ASS_COUNT_2-1,0))</f>
        <v>1666.6666666666667</v>
      </c>
      <c r="H193" s="350">
        <f ca="1">SUM(H189:OFFSET(H189,ASS_COUNT_2-1,0))</f>
        <v>1666.6666666666667</v>
      </c>
      <c r="I193" s="350">
        <f ca="1">SUM(I189:OFFSET(I189,ASS_COUNT_2-1,0))</f>
        <v>1666.6666666666667</v>
      </c>
      <c r="J193" s="350">
        <f ca="1">SUM(J189:OFFSET(J189,ASS_COUNT_2-1,0))</f>
        <v>1666.6666666666667</v>
      </c>
      <c r="K193" s="350">
        <f ca="1">SUM(K189:OFFSET(K189,ASS_COUNT_2-1,0))</f>
        <v>1666.6666666666667</v>
      </c>
      <c r="L193" s="350">
        <f ca="1">SUM(L189:OFFSET(L189,ASS_COUNT_2-1,0))</f>
        <v>1666.6666666666667</v>
      </c>
      <c r="M193" s="350">
        <f ca="1">SUM(M189:OFFSET(M189,ASS_COUNT_2-1,0))</f>
        <v>1666.6666666666667</v>
      </c>
      <c r="N193" s="350">
        <f ca="1">SUM(N189:OFFSET(N189,ASS_COUNT_2-1,0))</f>
        <v>1666.6666666666667</v>
      </c>
      <c r="O193" s="350">
        <f ca="1">SUM(O189:OFFSET(O189,ASS_COUNT_2-1,0))</f>
        <v>1666.6666666666667</v>
      </c>
      <c r="P193" s="350">
        <f ca="1">SUM(P189:OFFSET(P189,ASS_COUNT_2-1,0))</f>
        <v>1666.6666666666667</v>
      </c>
      <c r="Q193" s="350">
        <f ca="1">SUM(Q189:OFFSET(Q189,ASS_COUNT_2-1,0))</f>
        <v>1666.6666666666667</v>
      </c>
    </row>
    <row r="194" spans="1:5" s="298" customFormat="1" ht="10.5">
      <c r="A194" s="298" t="s">
        <v>229</v>
      </c>
      <c r="D194" s="299"/>
      <c r="E194" s="298" t="s">
        <v>340</v>
      </c>
    </row>
    <row r="195" spans="1:17" ht="10.5">
      <c r="A195" s="228"/>
      <c r="B195" s="228"/>
      <c r="C195" s="228"/>
      <c r="D195" s="297"/>
      <c r="E195" s="351">
        <f>E169*$B117</f>
        <v>0</v>
      </c>
      <c r="F195" s="351">
        <f aca="true" t="shared" si="30" ref="F195:Q195">MIN(F169*$B117,E221)</f>
        <v>0</v>
      </c>
      <c r="G195" s="351">
        <f t="shared" si="30"/>
        <v>0</v>
      </c>
      <c r="H195" s="351">
        <f t="shared" si="30"/>
        <v>0</v>
      </c>
      <c r="I195" s="351">
        <f t="shared" si="30"/>
        <v>0</v>
      </c>
      <c r="J195" s="351">
        <f t="shared" si="30"/>
        <v>0</v>
      </c>
      <c r="K195" s="351">
        <f t="shared" si="30"/>
        <v>0</v>
      </c>
      <c r="L195" s="351">
        <f t="shared" si="30"/>
        <v>0</v>
      </c>
      <c r="M195" s="351">
        <f t="shared" si="30"/>
        <v>0</v>
      </c>
      <c r="N195" s="351">
        <f t="shared" si="30"/>
        <v>0</v>
      </c>
      <c r="O195" s="351">
        <f t="shared" si="30"/>
        <v>0</v>
      </c>
      <c r="P195" s="351">
        <f t="shared" si="30"/>
        <v>0</v>
      </c>
      <c r="Q195" s="351">
        <f t="shared" si="30"/>
        <v>0</v>
      </c>
    </row>
    <row r="196" spans="1:17" ht="10.5">
      <c r="A196" s="228"/>
      <c r="B196" s="228"/>
      <c r="C196" s="228"/>
      <c r="D196" s="297"/>
      <c r="E196" s="351">
        <f>E170*$B118</f>
        <v>0</v>
      </c>
      <c r="F196" s="351">
        <f aca="true" t="shared" si="31" ref="F196:Q196">MIN(F170*$B118,E222)</f>
        <v>0</v>
      </c>
      <c r="G196" s="351">
        <f t="shared" si="31"/>
        <v>0</v>
      </c>
      <c r="H196" s="351">
        <f t="shared" si="31"/>
        <v>0</v>
      </c>
      <c r="I196" s="351">
        <f t="shared" si="31"/>
        <v>0</v>
      </c>
      <c r="J196" s="351">
        <f t="shared" si="31"/>
        <v>0</v>
      </c>
      <c r="K196" s="351">
        <f t="shared" si="31"/>
        <v>0</v>
      </c>
      <c r="L196" s="351">
        <f t="shared" si="31"/>
        <v>0</v>
      </c>
      <c r="M196" s="351">
        <f t="shared" si="31"/>
        <v>0</v>
      </c>
      <c r="N196" s="351">
        <f t="shared" si="31"/>
        <v>0</v>
      </c>
      <c r="O196" s="351">
        <f t="shared" si="31"/>
        <v>0</v>
      </c>
      <c r="P196" s="351">
        <f t="shared" si="31"/>
        <v>0</v>
      </c>
      <c r="Q196" s="351">
        <f t="shared" si="31"/>
        <v>0</v>
      </c>
    </row>
    <row r="197" spans="4:17" s="228" customFormat="1" ht="10.5">
      <c r="D197" s="297" t="s">
        <v>180</v>
      </c>
      <c r="E197" s="350">
        <f ca="1">SUM(E195:OFFSET(E195,ASS_COUNT_3-1,0))</f>
        <v>0</v>
      </c>
      <c r="F197" s="350">
        <f ca="1">SUM(F195:OFFSET(F195,ASS_COUNT_3-1,0))</f>
        <v>0</v>
      </c>
      <c r="G197" s="350">
        <f ca="1">SUM(G195:OFFSET(G195,ASS_COUNT_3-1,0))</f>
        <v>0</v>
      </c>
      <c r="H197" s="350">
        <f ca="1">SUM(H195:OFFSET(H195,ASS_COUNT_3-1,0))</f>
        <v>0</v>
      </c>
      <c r="I197" s="350">
        <f ca="1">SUM(I195:OFFSET(I195,ASS_COUNT_3-1,0))</f>
        <v>0</v>
      </c>
      <c r="J197" s="350">
        <f ca="1">SUM(J195:OFFSET(J195,ASS_COUNT_3-1,0))</f>
        <v>0</v>
      </c>
      <c r="K197" s="350">
        <f ca="1">SUM(K195:OFFSET(K195,ASS_COUNT_3-1,0))</f>
        <v>0</v>
      </c>
      <c r="L197" s="350">
        <f ca="1">SUM(L195:OFFSET(L195,ASS_COUNT_3-1,0))</f>
        <v>0</v>
      </c>
      <c r="M197" s="350">
        <f ca="1">SUM(M195:OFFSET(M195,ASS_COUNT_3-1,0))</f>
        <v>0</v>
      </c>
      <c r="N197" s="350">
        <f ca="1">SUM(N195:OFFSET(N195,ASS_COUNT_3-1,0))</f>
        <v>0</v>
      </c>
      <c r="O197" s="350">
        <f ca="1">SUM(O195:OFFSET(O195,ASS_COUNT_3-1,0))</f>
        <v>0</v>
      </c>
      <c r="P197" s="350">
        <f ca="1">SUM(P195:OFFSET(P195,ASS_COUNT_3-1,0))</f>
        <v>0</v>
      </c>
      <c r="Q197" s="350">
        <f ca="1">SUM(Q195:OFFSET(Q195,ASS_COUNT_3-1,0))</f>
        <v>0</v>
      </c>
    </row>
    <row r="198" spans="1:5" s="298" customFormat="1" ht="10.5">
      <c r="A198" s="298" t="s">
        <v>230</v>
      </c>
      <c r="D198" s="299"/>
      <c r="E198" s="298" t="s">
        <v>340</v>
      </c>
    </row>
    <row r="199" spans="1:17" ht="10.5">
      <c r="A199" s="228"/>
      <c r="B199" s="228"/>
      <c r="C199" s="228"/>
      <c r="D199" s="297"/>
      <c r="E199" s="351">
        <f>E173*$B121</f>
        <v>0</v>
      </c>
      <c r="F199" s="351">
        <f aca="true" t="shared" si="32" ref="F199:Q199">MIN(F173*$B121,E225)</f>
        <v>0</v>
      </c>
      <c r="G199" s="351">
        <f t="shared" si="32"/>
        <v>1666.4999999999998</v>
      </c>
      <c r="H199" s="351">
        <f t="shared" si="32"/>
        <v>1666.4999999999998</v>
      </c>
      <c r="I199" s="351">
        <f t="shared" si="32"/>
        <v>1666.4999999999998</v>
      </c>
      <c r="J199" s="351">
        <f t="shared" si="32"/>
        <v>1666.4999999999998</v>
      </c>
      <c r="K199" s="351">
        <f t="shared" si="32"/>
        <v>1666.4999999999998</v>
      </c>
      <c r="L199" s="351">
        <f t="shared" si="32"/>
        <v>1666.4999999999998</v>
      </c>
      <c r="M199" s="351">
        <f t="shared" si="32"/>
        <v>1666.4999999999998</v>
      </c>
      <c r="N199" s="351">
        <f t="shared" si="32"/>
        <v>1666.4999999999998</v>
      </c>
      <c r="O199" s="351">
        <f t="shared" si="32"/>
        <v>1666.4999999999998</v>
      </c>
      <c r="P199" s="351">
        <f t="shared" si="32"/>
        <v>1666.4999999999998</v>
      </c>
      <c r="Q199" s="351">
        <f t="shared" si="32"/>
        <v>1666.4999999999998</v>
      </c>
    </row>
    <row r="200" spans="1:17" ht="10.5">
      <c r="A200" s="228"/>
      <c r="B200" s="228"/>
      <c r="C200" s="228"/>
      <c r="D200" s="297"/>
      <c r="E200" s="351">
        <f>E174*$B122</f>
        <v>0</v>
      </c>
      <c r="F200" s="351">
        <f aca="true" t="shared" si="33" ref="F200:Q200">MIN(F174*$B122,E226)</f>
        <v>0</v>
      </c>
      <c r="G200" s="351">
        <f t="shared" si="33"/>
        <v>0</v>
      </c>
      <c r="H200" s="351">
        <f t="shared" si="33"/>
        <v>0</v>
      </c>
      <c r="I200" s="351">
        <f t="shared" si="33"/>
        <v>0</v>
      </c>
      <c r="J200" s="351">
        <f t="shared" si="33"/>
        <v>0</v>
      </c>
      <c r="K200" s="351">
        <f t="shared" si="33"/>
        <v>0</v>
      </c>
      <c r="L200" s="351">
        <f t="shared" si="33"/>
        <v>0</v>
      </c>
      <c r="M200" s="351">
        <f t="shared" si="33"/>
        <v>0</v>
      </c>
      <c r="N200" s="351">
        <f t="shared" si="33"/>
        <v>0</v>
      </c>
      <c r="O200" s="351">
        <f t="shared" si="33"/>
        <v>0</v>
      </c>
      <c r="P200" s="351">
        <f t="shared" si="33"/>
        <v>0</v>
      </c>
      <c r="Q200" s="351">
        <f t="shared" si="33"/>
        <v>0</v>
      </c>
    </row>
    <row r="201" spans="1:17" ht="10.5">
      <c r="A201" s="228"/>
      <c r="B201" s="228"/>
      <c r="C201" s="228"/>
      <c r="D201" s="297"/>
      <c r="E201" s="351">
        <f>E175*$B123</f>
        <v>0</v>
      </c>
      <c r="F201" s="351">
        <f aca="true" t="shared" si="34" ref="F201:Q201">MIN(F175*$B123,E227)</f>
        <v>0</v>
      </c>
      <c r="G201" s="351">
        <f t="shared" si="34"/>
        <v>0</v>
      </c>
      <c r="H201" s="351">
        <f t="shared" si="34"/>
        <v>0</v>
      </c>
      <c r="I201" s="351">
        <f t="shared" si="34"/>
        <v>0</v>
      </c>
      <c r="J201" s="351">
        <f t="shared" si="34"/>
        <v>0</v>
      </c>
      <c r="K201" s="351">
        <f t="shared" si="34"/>
        <v>0</v>
      </c>
      <c r="L201" s="351">
        <f t="shared" si="34"/>
        <v>0</v>
      </c>
      <c r="M201" s="351">
        <f t="shared" si="34"/>
        <v>0</v>
      </c>
      <c r="N201" s="351">
        <f t="shared" si="34"/>
        <v>0</v>
      </c>
      <c r="O201" s="351">
        <f t="shared" si="34"/>
        <v>0</v>
      </c>
      <c r="P201" s="351">
        <f t="shared" si="34"/>
        <v>0</v>
      </c>
      <c r="Q201" s="351">
        <f t="shared" si="34"/>
        <v>0</v>
      </c>
    </row>
    <row r="202" spans="1:17" ht="10.5">
      <c r="A202" s="228"/>
      <c r="B202" s="228"/>
      <c r="C202" s="228"/>
      <c r="D202" s="297"/>
      <c r="E202" s="351">
        <f>E176*$B124</f>
        <v>0</v>
      </c>
      <c r="F202" s="351">
        <f aca="true" t="shared" si="35" ref="F202:Q202">MIN(F176*$B124,E228)</f>
        <v>0</v>
      </c>
      <c r="G202" s="351">
        <f t="shared" si="35"/>
        <v>0</v>
      </c>
      <c r="H202" s="351">
        <f t="shared" si="35"/>
        <v>0</v>
      </c>
      <c r="I202" s="351">
        <f t="shared" si="35"/>
        <v>0</v>
      </c>
      <c r="J202" s="351">
        <f t="shared" si="35"/>
        <v>0</v>
      </c>
      <c r="K202" s="351">
        <f t="shared" si="35"/>
        <v>0</v>
      </c>
      <c r="L202" s="351">
        <f t="shared" si="35"/>
        <v>0</v>
      </c>
      <c r="M202" s="351">
        <f t="shared" si="35"/>
        <v>0</v>
      </c>
      <c r="N202" s="351">
        <f t="shared" si="35"/>
        <v>0</v>
      </c>
      <c r="O202" s="351">
        <f t="shared" si="35"/>
        <v>0</v>
      </c>
      <c r="P202" s="351">
        <f t="shared" si="35"/>
        <v>0</v>
      </c>
      <c r="Q202" s="351">
        <f t="shared" si="35"/>
        <v>0</v>
      </c>
    </row>
    <row r="203" spans="1:17" ht="10.5">
      <c r="A203" s="228"/>
      <c r="B203" s="228"/>
      <c r="C203" s="228"/>
      <c r="D203" s="297"/>
      <c r="E203" s="351">
        <f>E177*$B125</f>
        <v>0</v>
      </c>
      <c r="F203" s="351">
        <f aca="true" t="shared" si="36" ref="F203:Q203">MIN(F177*$B125,E229)</f>
        <v>0</v>
      </c>
      <c r="G203" s="351">
        <f t="shared" si="36"/>
        <v>0</v>
      </c>
      <c r="H203" s="351">
        <f t="shared" si="36"/>
        <v>0</v>
      </c>
      <c r="I203" s="351">
        <f t="shared" si="36"/>
        <v>0</v>
      </c>
      <c r="J203" s="351">
        <f t="shared" si="36"/>
        <v>0</v>
      </c>
      <c r="K203" s="351">
        <f t="shared" si="36"/>
        <v>0</v>
      </c>
      <c r="L203" s="351">
        <f t="shared" si="36"/>
        <v>0</v>
      </c>
      <c r="M203" s="351">
        <f t="shared" si="36"/>
        <v>0</v>
      </c>
      <c r="N203" s="351">
        <f t="shared" si="36"/>
        <v>0</v>
      </c>
      <c r="O203" s="351">
        <f t="shared" si="36"/>
        <v>0</v>
      </c>
      <c r="P203" s="351">
        <f t="shared" si="36"/>
        <v>0</v>
      </c>
      <c r="Q203" s="351">
        <f t="shared" si="36"/>
        <v>0</v>
      </c>
    </row>
    <row r="204" spans="4:17" s="228" customFormat="1" ht="10.5">
      <c r="D204" s="297" t="s">
        <v>180</v>
      </c>
      <c r="E204" s="350">
        <f ca="1">SUM(E199:OFFSET(E199,ASS_COUNT_4-1,0))</f>
        <v>0</v>
      </c>
      <c r="F204" s="350">
        <f ca="1">SUM(F199:OFFSET(F199,ASS_COUNT_4-1,0))</f>
        <v>0</v>
      </c>
      <c r="G204" s="350">
        <f ca="1">SUM(G199:OFFSET(G199,ASS_COUNT_4-1,0))</f>
        <v>1666.4999999999998</v>
      </c>
      <c r="H204" s="350">
        <f ca="1">SUM(H199:OFFSET(H199,ASS_COUNT_4-1,0))</f>
        <v>1666.4999999999998</v>
      </c>
      <c r="I204" s="350">
        <f ca="1">SUM(I199:OFFSET(I199,ASS_COUNT_4-1,0))</f>
        <v>1666.4999999999998</v>
      </c>
      <c r="J204" s="350">
        <f ca="1">SUM(J199:OFFSET(J199,ASS_COUNT_4-1,0))</f>
        <v>1666.4999999999998</v>
      </c>
      <c r="K204" s="350">
        <f ca="1">SUM(K199:OFFSET(K199,ASS_COUNT_4-1,0))</f>
        <v>1666.4999999999998</v>
      </c>
      <c r="L204" s="350">
        <f ca="1">SUM(L199:OFFSET(L199,ASS_COUNT_4-1,0))</f>
        <v>1666.4999999999998</v>
      </c>
      <c r="M204" s="350">
        <f ca="1">SUM(M199:OFFSET(M199,ASS_COUNT_4-1,0))</f>
        <v>1666.4999999999998</v>
      </c>
      <c r="N204" s="350">
        <f ca="1">SUM(N199:OFFSET(N199,ASS_COUNT_4-1,0))</f>
        <v>1666.4999999999998</v>
      </c>
      <c r="O204" s="350">
        <f ca="1">SUM(O199:OFFSET(O199,ASS_COUNT_4-1,0))</f>
        <v>1666.4999999999998</v>
      </c>
      <c r="P204" s="350">
        <f ca="1">SUM(P199:OFFSET(P199,ASS_COUNT_4-1,0))</f>
        <v>1666.4999999999998</v>
      </c>
      <c r="Q204" s="350">
        <f ca="1">SUM(Q199:OFFSET(Q199,ASS_COUNT_4-1,0))</f>
        <v>1666.4999999999998</v>
      </c>
    </row>
    <row r="205" spans="1:5" s="298" customFormat="1" ht="10.5">
      <c r="A205" s="298" t="s">
        <v>231</v>
      </c>
      <c r="D205" s="299"/>
      <c r="E205" s="298" t="s">
        <v>340</v>
      </c>
    </row>
    <row r="206" spans="1:17" ht="10.5">
      <c r="A206" s="228"/>
      <c r="B206" s="228"/>
      <c r="C206" s="228"/>
      <c r="D206" s="297"/>
      <c r="E206" s="351">
        <f>E180*$B128</f>
        <v>0</v>
      </c>
      <c r="F206" s="351">
        <f aca="true" t="shared" si="37" ref="F206:Q206">MIN(F180*$B128,E232)</f>
        <v>0</v>
      </c>
      <c r="G206" s="351">
        <f t="shared" si="37"/>
        <v>1666.6666666666667</v>
      </c>
      <c r="H206" s="351">
        <f t="shared" si="37"/>
        <v>1666.6666666666667</v>
      </c>
      <c r="I206" s="351">
        <f t="shared" si="37"/>
        <v>1666.6666666666667</v>
      </c>
      <c r="J206" s="351">
        <f t="shared" si="37"/>
        <v>1666.6666666666667</v>
      </c>
      <c r="K206" s="351">
        <f t="shared" si="37"/>
        <v>1666.6666666666667</v>
      </c>
      <c r="L206" s="351">
        <f t="shared" si="37"/>
        <v>1666.6666666666667</v>
      </c>
      <c r="M206" s="351">
        <f t="shared" si="37"/>
        <v>1666.6666666666667</v>
      </c>
      <c r="N206" s="351">
        <f t="shared" si="37"/>
        <v>1666.6666666666667</v>
      </c>
      <c r="O206" s="351">
        <f t="shared" si="37"/>
        <v>1666.6666666666667</v>
      </c>
      <c r="P206" s="351">
        <f t="shared" si="37"/>
        <v>1666.6666666666667</v>
      </c>
      <c r="Q206" s="351">
        <f t="shared" si="37"/>
        <v>1666.6666666666667</v>
      </c>
    </row>
    <row r="207" spans="1:17" ht="10.5">
      <c r="A207" s="228"/>
      <c r="B207" s="228"/>
      <c r="C207" s="228"/>
      <c r="D207" s="297"/>
      <c r="E207" s="351">
        <f>E181*$B129</f>
        <v>0</v>
      </c>
      <c r="F207" s="351">
        <f aca="true" t="shared" si="38" ref="F207:Q207">MIN(F181*$B129,E233)</f>
        <v>0</v>
      </c>
      <c r="G207" s="351">
        <f t="shared" si="38"/>
        <v>833.3333333333334</v>
      </c>
      <c r="H207" s="351">
        <f t="shared" si="38"/>
        <v>833.3333333333334</v>
      </c>
      <c r="I207" s="351">
        <f t="shared" si="38"/>
        <v>833.3333333333334</v>
      </c>
      <c r="J207" s="351">
        <f t="shared" si="38"/>
        <v>833.3333333333334</v>
      </c>
      <c r="K207" s="351">
        <f t="shared" si="38"/>
        <v>833.3333333333334</v>
      </c>
      <c r="L207" s="351">
        <f t="shared" si="38"/>
        <v>833.3333333333334</v>
      </c>
      <c r="M207" s="351">
        <f t="shared" si="38"/>
        <v>833.3333333333334</v>
      </c>
      <c r="N207" s="351">
        <f t="shared" si="38"/>
        <v>833.3333333333334</v>
      </c>
      <c r="O207" s="351">
        <f t="shared" si="38"/>
        <v>833.3333333333334</v>
      </c>
      <c r="P207" s="351">
        <f t="shared" si="38"/>
        <v>833.3333333333334</v>
      </c>
      <c r="Q207" s="351">
        <f t="shared" si="38"/>
        <v>833.3333333333334</v>
      </c>
    </row>
    <row r="208" spans="1:17" ht="10.5">
      <c r="A208" s="228"/>
      <c r="B208" s="228"/>
      <c r="C208" s="228"/>
      <c r="D208" s="297"/>
      <c r="E208" s="351">
        <f>E182*$B130</f>
        <v>0</v>
      </c>
      <c r="F208" s="351">
        <f aca="true" t="shared" si="39" ref="F208:Q208">MIN(F182*$B130,E234)</f>
        <v>0</v>
      </c>
      <c r="G208" s="351">
        <f t="shared" si="39"/>
        <v>1666.6666666666667</v>
      </c>
      <c r="H208" s="351">
        <f t="shared" si="39"/>
        <v>1666.6666666666667</v>
      </c>
      <c r="I208" s="351">
        <f t="shared" si="39"/>
        <v>1666.6666666666667</v>
      </c>
      <c r="J208" s="351">
        <f t="shared" si="39"/>
        <v>1666.6666666666667</v>
      </c>
      <c r="K208" s="351">
        <f t="shared" si="39"/>
        <v>1666.6666666666667</v>
      </c>
      <c r="L208" s="351">
        <f t="shared" si="39"/>
        <v>1666.6666666666667</v>
      </c>
      <c r="M208" s="351">
        <f t="shared" si="39"/>
        <v>1666.6666666666667</v>
      </c>
      <c r="N208" s="351">
        <f t="shared" si="39"/>
        <v>1666.6666666666667</v>
      </c>
      <c r="O208" s="351">
        <f t="shared" si="39"/>
        <v>1666.6666666666667</v>
      </c>
      <c r="P208" s="351">
        <f t="shared" si="39"/>
        <v>1666.6666666666667</v>
      </c>
      <c r="Q208" s="351">
        <f t="shared" si="39"/>
        <v>1666.6666666666667</v>
      </c>
    </row>
    <row r="209" spans="1:17" ht="10.5">
      <c r="A209" s="228"/>
      <c r="B209" s="228"/>
      <c r="C209" s="228"/>
      <c r="D209" s="297"/>
      <c r="E209" s="351">
        <f>E183*$B131</f>
        <v>0</v>
      </c>
      <c r="F209" s="351">
        <f aca="true" t="shared" si="40" ref="F209:Q209">MIN(F183*$B131,E235)</f>
        <v>0</v>
      </c>
      <c r="G209" s="351">
        <f t="shared" si="40"/>
        <v>0</v>
      </c>
      <c r="H209" s="351">
        <f t="shared" si="40"/>
        <v>0</v>
      </c>
      <c r="I209" s="351">
        <f t="shared" si="40"/>
        <v>0</v>
      </c>
      <c r="J209" s="351">
        <f t="shared" si="40"/>
        <v>0</v>
      </c>
      <c r="K209" s="351">
        <f t="shared" si="40"/>
        <v>0</v>
      </c>
      <c r="L209" s="351">
        <f t="shared" si="40"/>
        <v>0</v>
      </c>
      <c r="M209" s="351">
        <f t="shared" si="40"/>
        <v>0</v>
      </c>
      <c r="N209" s="351">
        <f t="shared" si="40"/>
        <v>0</v>
      </c>
      <c r="O209" s="351">
        <f t="shared" si="40"/>
        <v>0</v>
      </c>
      <c r="P209" s="351">
        <f t="shared" si="40"/>
        <v>0</v>
      </c>
      <c r="Q209" s="351">
        <f t="shared" si="40"/>
        <v>0</v>
      </c>
    </row>
    <row r="210" spans="4:17" s="306" customFormat="1" ht="10.5">
      <c r="D210" s="307" t="s">
        <v>180</v>
      </c>
      <c r="E210" s="374">
        <f ca="1">SUM(E206:OFFSET(E206,ASS_COUNT_5-1,0))</f>
        <v>0</v>
      </c>
      <c r="F210" s="374">
        <f ca="1">SUM(F206:OFFSET(F206,ASS_COUNT_5-1,0))</f>
        <v>0</v>
      </c>
      <c r="G210" s="374">
        <f ca="1">SUM(G206:OFFSET(G206,ASS_COUNT_5-1,0))</f>
        <v>4166.666666666667</v>
      </c>
      <c r="H210" s="374">
        <f ca="1">SUM(H206:OFFSET(H206,ASS_COUNT_5-1,0))</f>
        <v>4166.666666666667</v>
      </c>
      <c r="I210" s="374">
        <f ca="1">SUM(I206:OFFSET(I206,ASS_COUNT_5-1,0))</f>
        <v>4166.666666666667</v>
      </c>
      <c r="J210" s="374">
        <f ca="1">SUM(J206:OFFSET(J206,ASS_COUNT_5-1,0))</f>
        <v>4166.666666666667</v>
      </c>
      <c r="K210" s="374">
        <f ca="1">SUM(K206:OFFSET(K206,ASS_COUNT_5-1,0))</f>
        <v>4166.666666666667</v>
      </c>
      <c r="L210" s="374">
        <f ca="1">SUM(L206:OFFSET(L206,ASS_COUNT_5-1,0))</f>
        <v>4166.666666666667</v>
      </c>
      <c r="M210" s="374">
        <f ca="1">SUM(M206:OFFSET(M206,ASS_COUNT_5-1,0))</f>
        <v>4166.666666666667</v>
      </c>
      <c r="N210" s="374">
        <f ca="1">SUM(N206:OFFSET(N206,ASS_COUNT_5-1,0))</f>
        <v>4166.666666666667</v>
      </c>
      <c r="O210" s="374">
        <f ca="1">SUM(O206:OFFSET(O206,ASS_COUNT_5-1,0))</f>
        <v>4166.666666666667</v>
      </c>
      <c r="P210" s="374">
        <f ca="1">SUM(P206:OFFSET(P206,ASS_COUNT_5-1,0))</f>
        <v>4166.666666666667</v>
      </c>
      <c r="Q210" s="374">
        <f ca="1">SUM(Q206:OFFSET(Q206,ASS_COUNT_5-1,0))</f>
        <v>4166.666666666667</v>
      </c>
    </row>
    <row r="211" spans="1:5" s="298" customFormat="1" ht="10.5">
      <c r="A211" s="298" t="s">
        <v>227</v>
      </c>
      <c r="D211" s="299"/>
      <c r="E211" s="298" t="s">
        <v>238</v>
      </c>
    </row>
    <row r="212" spans="1:17" ht="10.5">
      <c r="A212" s="228"/>
      <c r="B212" s="228"/>
      <c r="C212" s="228"/>
      <c r="D212" s="297"/>
      <c r="E212" s="351">
        <f>E160-SUM($E186:E186)</f>
        <v>0</v>
      </c>
      <c r="F212" s="351">
        <f>F160-SUM($E186:F186)</f>
        <v>0</v>
      </c>
      <c r="G212" s="351">
        <f>G160-SUM($E186:G186)</f>
        <v>0</v>
      </c>
      <c r="H212" s="351">
        <f>H160-SUM($E186:H186)</f>
        <v>0</v>
      </c>
      <c r="I212" s="351">
        <f>I160-SUM($E186:I186)</f>
        <v>0</v>
      </c>
      <c r="J212" s="351">
        <f>J160-SUM($E186:J186)</f>
        <v>0</v>
      </c>
      <c r="K212" s="351">
        <f>K160-SUM($E186:K186)</f>
        <v>0</v>
      </c>
      <c r="L212" s="351">
        <f>L160-SUM($E186:L186)</f>
        <v>0</v>
      </c>
      <c r="M212" s="351">
        <f>M160-SUM($E186:M186)</f>
        <v>0</v>
      </c>
      <c r="N212" s="351">
        <f>N160-SUM($E186:N186)</f>
        <v>0</v>
      </c>
      <c r="O212" s="351">
        <f>O160-SUM($E186:O186)</f>
        <v>0</v>
      </c>
      <c r="P212" s="351">
        <f>P160-SUM($E186:P186)</f>
        <v>0</v>
      </c>
      <c r="Q212" s="351">
        <f>Q160-SUM($E186:Q186)</f>
        <v>0</v>
      </c>
    </row>
    <row r="213" spans="4:17" s="228" customFormat="1" ht="10.5">
      <c r="D213" s="297" t="s">
        <v>180</v>
      </c>
      <c r="E213" s="350">
        <f ca="1">SUM(E212:OFFSET(E212,ASS_COUNT_1-1,0))</f>
        <v>0</v>
      </c>
      <c r="F213" s="350">
        <f ca="1">SUM(F212:OFFSET(F212,ASS_COUNT_1-1,0))</f>
        <v>0</v>
      </c>
      <c r="G213" s="350">
        <f ca="1">SUM(G212:OFFSET(G212,ASS_COUNT_1-1,0))</f>
        <v>0</v>
      </c>
      <c r="H213" s="350">
        <f ca="1">SUM(H212:OFFSET(H212,ASS_COUNT_1-1,0))</f>
        <v>0</v>
      </c>
      <c r="I213" s="350">
        <f ca="1">SUM(I212:OFFSET(I212,ASS_COUNT_1-1,0))</f>
        <v>0</v>
      </c>
      <c r="J213" s="350">
        <f ca="1">SUM(J212:OFFSET(J212,ASS_COUNT_1-1,0))</f>
        <v>0</v>
      </c>
      <c r="K213" s="350">
        <f ca="1">SUM(K212:OFFSET(K212,ASS_COUNT_1-1,0))</f>
        <v>0</v>
      </c>
      <c r="L213" s="350">
        <f ca="1">SUM(L212:OFFSET(L212,ASS_COUNT_1-1,0))</f>
        <v>0</v>
      </c>
      <c r="M213" s="350">
        <f ca="1">SUM(M212:OFFSET(M212,ASS_COUNT_1-1,0))</f>
        <v>0</v>
      </c>
      <c r="N213" s="350">
        <f ca="1">SUM(N212:OFFSET(N212,ASS_COUNT_1-1,0))</f>
        <v>0</v>
      </c>
      <c r="O213" s="350">
        <f ca="1">SUM(O212:OFFSET(O212,ASS_COUNT_1-1,0))</f>
        <v>0</v>
      </c>
      <c r="P213" s="350">
        <f ca="1">SUM(P212:OFFSET(P212,ASS_COUNT_1-1,0))</f>
        <v>0</v>
      </c>
      <c r="Q213" s="350">
        <f ca="1">SUM(Q212:OFFSET(Q212,ASS_COUNT_1-1,0))</f>
        <v>0</v>
      </c>
    </row>
    <row r="214" spans="1:5" s="298" customFormat="1" ht="10.5">
      <c r="A214" s="298" t="s">
        <v>228</v>
      </c>
      <c r="D214" s="299"/>
      <c r="E214" s="298" t="s">
        <v>238</v>
      </c>
    </row>
    <row r="215" spans="1:17" ht="10.5">
      <c r="A215" s="228"/>
      <c r="B215" s="228"/>
      <c r="C215" s="228"/>
      <c r="D215" s="297"/>
      <c r="E215" s="351">
        <f>E163-SUM($E189:E189)</f>
        <v>0</v>
      </c>
      <c r="F215" s="351">
        <f>F163-SUM($E189:F189)</f>
        <v>100000</v>
      </c>
      <c r="G215" s="351">
        <f>G163-SUM($E189:G189)</f>
        <v>98333.33333333333</v>
      </c>
      <c r="H215" s="351">
        <f>H163-SUM($E189:H189)</f>
        <v>96666.66666666667</v>
      </c>
      <c r="I215" s="351">
        <f>I163-SUM($E189:I189)</f>
        <v>95000</v>
      </c>
      <c r="J215" s="351">
        <f>J163-SUM($E189:J189)</f>
        <v>93333.33333333333</v>
      </c>
      <c r="K215" s="351">
        <f>K163-SUM($E189:K189)</f>
        <v>91666.66666666667</v>
      </c>
      <c r="L215" s="351">
        <f>L163-SUM($E189:L189)</f>
        <v>90000</v>
      </c>
      <c r="M215" s="351">
        <f>M163-SUM($E189:M189)</f>
        <v>88333.33333333333</v>
      </c>
      <c r="N215" s="351">
        <f>N163-SUM($E189:N189)</f>
        <v>86666.66666666667</v>
      </c>
      <c r="O215" s="351">
        <f>O163-SUM($E189:O189)</f>
        <v>85000</v>
      </c>
      <c r="P215" s="351">
        <f>P163-SUM($E189:P189)</f>
        <v>83333.33333333334</v>
      </c>
      <c r="Q215" s="351">
        <f>Q163-SUM($E189:Q189)</f>
        <v>81666.66666666667</v>
      </c>
    </row>
    <row r="216" spans="1:17" ht="10.5">
      <c r="A216" s="228"/>
      <c r="B216" s="228"/>
      <c r="C216" s="228"/>
      <c r="D216" s="297"/>
      <c r="E216" s="351">
        <f>E164-SUM($E190:E190)</f>
        <v>0</v>
      </c>
      <c r="F216" s="351">
        <f>F164-SUM($E190:F190)</f>
        <v>0</v>
      </c>
      <c r="G216" s="351">
        <f>G164-SUM($E190:G190)</f>
        <v>0</v>
      </c>
      <c r="H216" s="351">
        <f>H164-SUM($E190:H190)</f>
        <v>0</v>
      </c>
      <c r="I216" s="351">
        <f>I164-SUM($E190:I190)</f>
        <v>0</v>
      </c>
      <c r="J216" s="351">
        <f>J164-SUM($E190:J190)</f>
        <v>0</v>
      </c>
      <c r="K216" s="351">
        <f>K164-SUM($E190:K190)</f>
        <v>0</v>
      </c>
      <c r="L216" s="351">
        <f>L164-SUM($E190:L190)</f>
        <v>0</v>
      </c>
      <c r="M216" s="351">
        <f>M164-SUM($E190:M190)</f>
        <v>0</v>
      </c>
      <c r="N216" s="351">
        <f>N164-SUM($E190:N190)</f>
        <v>0</v>
      </c>
      <c r="O216" s="351">
        <f>O164-SUM($E190:O190)</f>
        <v>0</v>
      </c>
      <c r="P216" s="351">
        <f>P164-SUM($E190:P190)</f>
        <v>0</v>
      </c>
      <c r="Q216" s="351">
        <f>Q164-SUM($E190:Q190)</f>
        <v>0</v>
      </c>
    </row>
    <row r="217" spans="1:17" ht="10.5">
      <c r="A217" s="228"/>
      <c r="B217" s="228"/>
      <c r="C217" s="228"/>
      <c r="D217" s="297"/>
      <c r="E217" s="351">
        <f>E165-SUM($E191:E191)</f>
        <v>0</v>
      </c>
      <c r="F217" s="351">
        <f>F165-SUM($E191:F191)</f>
        <v>0</v>
      </c>
      <c r="G217" s="351">
        <f>G165-SUM($E191:G191)</f>
        <v>0</v>
      </c>
      <c r="H217" s="351">
        <f>H165-SUM($E191:H191)</f>
        <v>0</v>
      </c>
      <c r="I217" s="351">
        <f>I165-SUM($E191:I191)</f>
        <v>0</v>
      </c>
      <c r="J217" s="351">
        <f>J165-SUM($E191:J191)</f>
        <v>0</v>
      </c>
      <c r="K217" s="351">
        <f>K165-SUM($E191:K191)</f>
        <v>0</v>
      </c>
      <c r="L217" s="351">
        <f>L165-SUM($E191:L191)</f>
        <v>0</v>
      </c>
      <c r="M217" s="351">
        <f>M165-SUM($E191:M191)</f>
        <v>0</v>
      </c>
      <c r="N217" s="351">
        <f>N165-SUM($E191:N191)</f>
        <v>0</v>
      </c>
      <c r="O217" s="351">
        <f>O165-SUM($E191:O191)</f>
        <v>0</v>
      </c>
      <c r="P217" s="351">
        <f>P165-SUM($E191:P191)</f>
        <v>0</v>
      </c>
      <c r="Q217" s="351">
        <f>Q165-SUM($E191:Q191)</f>
        <v>0</v>
      </c>
    </row>
    <row r="218" spans="1:17" ht="10.5">
      <c r="A218" s="228"/>
      <c r="B218" s="228"/>
      <c r="C218" s="228"/>
      <c r="D218" s="297"/>
      <c r="E218" s="351">
        <f>E166-SUM($E192:E192)</f>
        <v>0</v>
      </c>
      <c r="F218" s="351">
        <f>F166-SUM($E192:F192)</f>
        <v>0</v>
      </c>
      <c r="G218" s="351">
        <f>G166-SUM($E192:G192)</f>
        <v>0</v>
      </c>
      <c r="H218" s="351">
        <f>H166-SUM($E192:H192)</f>
        <v>0</v>
      </c>
      <c r="I218" s="351">
        <f>I166-SUM($E192:I192)</f>
        <v>0</v>
      </c>
      <c r="J218" s="351">
        <f>J166-SUM($E192:J192)</f>
        <v>0</v>
      </c>
      <c r="K218" s="351">
        <f>K166-SUM($E192:K192)</f>
        <v>0</v>
      </c>
      <c r="L218" s="351">
        <f>L166-SUM($E192:L192)</f>
        <v>0</v>
      </c>
      <c r="M218" s="351">
        <f>M166-SUM($E192:M192)</f>
        <v>0</v>
      </c>
      <c r="N218" s="351">
        <f>N166-SUM($E192:N192)</f>
        <v>0</v>
      </c>
      <c r="O218" s="351">
        <f>O166-SUM($E192:O192)</f>
        <v>0</v>
      </c>
      <c r="P218" s="351">
        <f>P166-SUM($E192:P192)</f>
        <v>0</v>
      </c>
      <c r="Q218" s="351">
        <f>Q166-SUM($E192:Q192)</f>
        <v>0</v>
      </c>
    </row>
    <row r="219" spans="4:17" s="228" customFormat="1" ht="10.5">
      <c r="D219" s="297" t="s">
        <v>180</v>
      </c>
      <c r="E219" s="350">
        <f ca="1">SUM(E215:OFFSET(E215,ASS_COUNT_2-1,0))</f>
        <v>0</v>
      </c>
      <c r="F219" s="350">
        <f ca="1">SUM(F215:OFFSET(F215,ASS_COUNT_2-1,0))</f>
        <v>100000</v>
      </c>
      <c r="G219" s="350">
        <f ca="1">SUM(G215:OFFSET(G215,ASS_COUNT_2-1,0))</f>
        <v>98333.33333333333</v>
      </c>
      <c r="H219" s="350">
        <f ca="1">SUM(H215:OFFSET(H215,ASS_COUNT_2-1,0))</f>
        <v>96666.66666666667</v>
      </c>
      <c r="I219" s="350">
        <f ca="1">SUM(I215:OFFSET(I215,ASS_COUNT_2-1,0))</f>
        <v>95000</v>
      </c>
      <c r="J219" s="350">
        <f ca="1">SUM(J215:OFFSET(J215,ASS_COUNT_2-1,0))</f>
        <v>93333.33333333333</v>
      </c>
      <c r="K219" s="350">
        <f ca="1">SUM(K215:OFFSET(K215,ASS_COUNT_2-1,0))</f>
        <v>91666.66666666667</v>
      </c>
      <c r="L219" s="350">
        <f ca="1">SUM(L215:OFFSET(L215,ASS_COUNT_2-1,0))</f>
        <v>90000</v>
      </c>
      <c r="M219" s="350">
        <f ca="1">SUM(M215:OFFSET(M215,ASS_COUNT_2-1,0))</f>
        <v>88333.33333333333</v>
      </c>
      <c r="N219" s="350">
        <f ca="1">SUM(N215:OFFSET(N215,ASS_COUNT_2-1,0))</f>
        <v>86666.66666666667</v>
      </c>
      <c r="O219" s="350">
        <f ca="1">SUM(O215:OFFSET(O215,ASS_COUNT_2-1,0))</f>
        <v>85000</v>
      </c>
      <c r="P219" s="350">
        <f ca="1">SUM(P215:OFFSET(P215,ASS_COUNT_2-1,0))</f>
        <v>83333.33333333334</v>
      </c>
      <c r="Q219" s="350">
        <f ca="1">SUM(Q215:OFFSET(Q215,ASS_COUNT_2-1,0))</f>
        <v>81666.66666666667</v>
      </c>
    </row>
    <row r="220" spans="1:5" s="298" customFormat="1" ht="10.5">
      <c r="A220" s="298" t="s">
        <v>229</v>
      </c>
      <c r="D220" s="299"/>
      <c r="E220" s="298" t="s">
        <v>238</v>
      </c>
    </row>
    <row r="221" spans="1:17" ht="10.5">
      <c r="A221" s="228"/>
      <c r="B221" s="228"/>
      <c r="C221" s="228"/>
      <c r="D221" s="297"/>
      <c r="E221" s="351">
        <f>E169-SUM($E195:E195)</f>
        <v>0</v>
      </c>
      <c r="F221" s="351">
        <f>F169-SUM($E195:F195)</f>
        <v>0</v>
      </c>
      <c r="G221" s="351">
        <f>G169-SUM($E195:G195)</f>
        <v>0</v>
      </c>
      <c r="H221" s="351">
        <f>H169-SUM($E195:H195)</f>
        <v>0</v>
      </c>
      <c r="I221" s="351">
        <f>I169-SUM($E195:I195)</f>
        <v>0</v>
      </c>
      <c r="J221" s="351">
        <f>J169-SUM($E195:J195)</f>
        <v>0</v>
      </c>
      <c r="K221" s="351">
        <f>K169-SUM($E195:K195)</f>
        <v>0</v>
      </c>
      <c r="L221" s="351">
        <f>L169-SUM($E195:L195)</f>
        <v>0</v>
      </c>
      <c r="M221" s="351">
        <f>M169-SUM($E195:M195)</f>
        <v>0</v>
      </c>
      <c r="N221" s="351">
        <f>N169-SUM($E195:N195)</f>
        <v>0</v>
      </c>
      <c r="O221" s="351">
        <f>O169-SUM($E195:O195)</f>
        <v>0</v>
      </c>
      <c r="P221" s="351">
        <f>P169-SUM($E195:P195)</f>
        <v>0</v>
      </c>
      <c r="Q221" s="351">
        <f>Q169-SUM($E195:Q195)</f>
        <v>0</v>
      </c>
    </row>
    <row r="222" spans="1:17" ht="10.5">
      <c r="A222" s="228"/>
      <c r="B222" s="228"/>
      <c r="C222" s="228"/>
      <c r="D222" s="297"/>
      <c r="E222" s="351">
        <f>E170-SUM($E196:E196)</f>
        <v>0</v>
      </c>
      <c r="F222" s="351">
        <f>F170-SUM($E196:F196)</f>
        <v>0</v>
      </c>
      <c r="G222" s="351">
        <f>G170-SUM($E196:G196)</f>
        <v>0</v>
      </c>
      <c r="H222" s="351">
        <f>H170-SUM($E196:H196)</f>
        <v>0</v>
      </c>
      <c r="I222" s="351">
        <f>I170-SUM($E196:I196)</f>
        <v>0</v>
      </c>
      <c r="J222" s="351">
        <f>J170-SUM($E196:J196)</f>
        <v>0</v>
      </c>
      <c r="K222" s="351">
        <f>K170-SUM($E196:K196)</f>
        <v>0</v>
      </c>
      <c r="L222" s="351">
        <f>L170-SUM($E196:L196)</f>
        <v>0</v>
      </c>
      <c r="M222" s="351">
        <f>M170-SUM($E196:M196)</f>
        <v>0</v>
      </c>
      <c r="N222" s="351">
        <f>N170-SUM($E196:N196)</f>
        <v>0</v>
      </c>
      <c r="O222" s="351">
        <f>O170-SUM($E196:O196)</f>
        <v>0</v>
      </c>
      <c r="P222" s="351">
        <f>P170-SUM($E196:P196)</f>
        <v>0</v>
      </c>
      <c r="Q222" s="351">
        <f>Q170-SUM($E196:Q196)</f>
        <v>0</v>
      </c>
    </row>
    <row r="223" spans="4:17" s="228" customFormat="1" ht="10.5">
      <c r="D223" s="297" t="s">
        <v>180</v>
      </c>
      <c r="E223" s="350">
        <f ca="1">SUM(E221:OFFSET(E221,ASS_COUNT_3-1,0))</f>
        <v>0</v>
      </c>
      <c r="F223" s="350">
        <f ca="1">SUM(F221:OFFSET(F221,ASS_COUNT_3-1,0))</f>
        <v>0</v>
      </c>
      <c r="G223" s="350">
        <f ca="1">SUM(G221:OFFSET(G221,ASS_COUNT_3-1,0))</f>
        <v>0</v>
      </c>
      <c r="H223" s="350">
        <f ca="1">SUM(H221:OFFSET(H221,ASS_COUNT_3-1,0))</f>
        <v>0</v>
      </c>
      <c r="I223" s="350">
        <f ca="1">SUM(I221:OFFSET(I221,ASS_COUNT_3-1,0))</f>
        <v>0</v>
      </c>
      <c r="J223" s="350">
        <f ca="1">SUM(J221:OFFSET(J221,ASS_COUNT_3-1,0))</f>
        <v>0</v>
      </c>
      <c r="K223" s="350">
        <f ca="1">SUM(K221:OFFSET(K221,ASS_COUNT_3-1,0))</f>
        <v>0</v>
      </c>
      <c r="L223" s="350">
        <f ca="1">SUM(L221:OFFSET(L221,ASS_COUNT_3-1,0))</f>
        <v>0</v>
      </c>
      <c r="M223" s="350">
        <f ca="1">SUM(M221:OFFSET(M221,ASS_COUNT_3-1,0))</f>
        <v>0</v>
      </c>
      <c r="N223" s="350">
        <f ca="1">SUM(N221:OFFSET(N221,ASS_COUNT_3-1,0))</f>
        <v>0</v>
      </c>
      <c r="O223" s="350">
        <f ca="1">SUM(O221:OFFSET(O221,ASS_COUNT_3-1,0))</f>
        <v>0</v>
      </c>
      <c r="P223" s="350">
        <f ca="1">SUM(P221:OFFSET(P221,ASS_COUNT_3-1,0))</f>
        <v>0</v>
      </c>
      <c r="Q223" s="350">
        <f ca="1">SUM(Q221:OFFSET(Q221,ASS_COUNT_3-1,0))</f>
        <v>0</v>
      </c>
    </row>
    <row r="224" spans="1:5" s="298" customFormat="1" ht="10.5">
      <c r="A224" s="298" t="s">
        <v>230</v>
      </c>
      <c r="D224" s="299"/>
      <c r="E224" s="298" t="s">
        <v>238</v>
      </c>
    </row>
    <row r="225" spans="1:17" ht="10.5">
      <c r="A225" s="228"/>
      <c r="B225" s="228"/>
      <c r="C225" s="228"/>
      <c r="D225" s="297"/>
      <c r="E225" s="351">
        <f>E173-SUM($E199:E199)</f>
        <v>0</v>
      </c>
      <c r="F225" s="351">
        <f>F173-SUM($E199:F199)</f>
        <v>60000</v>
      </c>
      <c r="G225" s="351">
        <f>G173-SUM($E199:G199)</f>
        <v>58333.5</v>
      </c>
      <c r="H225" s="351">
        <f>H173-SUM($E199:H199)</f>
        <v>56667</v>
      </c>
      <c r="I225" s="351">
        <f>I173-SUM($E199:I199)</f>
        <v>55000.5</v>
      </c>
      <c r="J225" s="351">
        <f>J173-SUM($E199:J199)</f>
        <v>53334</v>
      </c>
      <c r="K225" s="351">
        <f>K173-SUM($E199:K199)</f>
        <v>51667.5</v>
      </c>
      <c r="L225" s="351">
        <f>L173-SUM($E199:L199)</f>
        <v>50001</v>
      </c>
      <c r="M225" s="351">
        <f>M173-SUM($E199:M199)</f>
        <v>48334.5</v>
      </c>
      <c r="N225" s="351">
        <f>N173-SUM($E199:N199)</f>
        <v>46668</v>
      </c>
      <c r="O225" s="351">
        <f>O173-SUM($E199:O199)</f>
        <v>45001.5</v>
      </c>
      <c r="P225" s="351">
        <f>P173-SUM($E199:P199)</f>
        <v>43335</v>
      </c>
      <c r="Q225" s="351">
        <f>Q173-SUM($E199:Q199)</f>
        <v>41668.5</v>
      </c>
    </row>
    <row r="226" spans="1:17" ht="10.5">
      <c r="A226" s="228"/>
      <c r="B226" s="228"/>
      <c r="C226" s="228"/>
      <c r="D226" s="297"/>
      <c r="E226" s="351">
        <f>E174-SUM($E200:E200)</f>
        <v>0</v>
      </c>
      <c r="F226" s="351">
        <f>F174-SUM($E200:F200)</f>
        <v>0</v>
      </c>
      <c r="G226" s="351">
        <f>G174-SUM($E200:G200)</f>
        <v>0</v>
      </c>
      <c r="H226" s="351">
        <f>H174-SUM($E200:H200)</f>
        <v>0</v>
      </c>
      <c r="I226" s="351">
        <f>I174-SUM($E200:I200)</f>
        <v>0</v>
      </c>
      <c r="J226" s="351">
        <f>J174-SUM($E200:J200)</f>
        <v>0</v>
      </c>
      <c r="K226" s="351">
        <f>K174-SUM($E200:K200)</f>
        <v>0</v>
      </c>
      <c r="L226" s="351">
        <f>L174-SUM($E200:L200)</f>
        <v>0</v>
      </c>
      <c r="M226" s="351">
        <f>M174-SUM($E200:M200)</f>
        <v>0</v>
      </c>
      <c r="N226" s="351">
        <f>N174-SUM($E200:N200)</f>
        <v>0</v>
      </c>
      <c r="O226" s="351">
        <f>O174-SUM($E200:O200)</f>
        <v>0</v>
      </c>
      <c r="P226" s="351">
        <f>P174-SUM($E200:P200)</f>
        <v>0</v>
      </c>
      <c r="Q226" s="351">
        <f>Q174-SUM($E200:Q200)</f>
        <v>0</v>
      </c>
    </row>
    <row r="227" spans="1:17" ht="10.5">
      <c r="A227" s="228"/>
      <c r="B227" s="228"/>
      <c r="C227" s="228"/>
      <c r="D227" s="297"/>
      <c r="E227" s="351">
        <f>E175-SUM($E201:E201)</f>
        <v>0</v>
      </c>
      <c r="F227" s="351">
        <f>F175-SUM($E201:F201)</f>
        <v>0</v>
      </c>
      <c r="G227" s="351">
        <f>G175-SUM($E201:G201)</f>
        <v>0</v>
      </c>
      <c r="H227" s="351">
        <f>H175-SUM($E201:H201)</f>
        <v>0</v>
      </c>
      <c r="I227" s="351">
        <f>I175-SUM($E201:I201)</f>
        <v>0</v>
      </c>
      <c r="J227" s="351">
        <f>J175-SUM($E201:J201)</f>
        <v>0</v>
      </c>
      <c r="K227" s="351">
        <f>K175-SUM($E201:K201)</f>
        <v>0</v>
      </c>
      <c r="L227" s="351">
        <f>L175-SUM($E201:L201)</f>
        <v>0</v>
      </c>
      <c r="M227" s="351">
        <f>M175-SUM($E201:M201)</f>
        <v>0</v>
      </c>
      <c r="N227" s="351">
        <f>N175-SUM($E201:N201)</f>
        <v>0</v>
      </c>
      <c r="O227" s="351">
        <f>O175-SUM($E201:O201)</f>
        <v>0</v>
      </c>
      <c r="P227" s="351">
        <f>P175-SUM($E201:P201)</f>
        <v>0</v>
      </c>
      <c r="Q227" s="351">
        <f>Q175-SUM($E201:Q201)</f>
        <v>0</v>
      </c>
    </row>
    <row r="228" spans="1:17" ht="10.5">
      <c r="A228" s="228"/>
      <c r="B228" s="228"/>
      <c r="C228" s="228"/>
      <c r="D228" s="297"/>
      <c r="E228" s="351">
        <f>E176-SUM($E202:E202)</f>
        <v>0</v>
      </c>
      <c r="F228" s="351">
        <f>F176-SUM($E202:F202)</f>
        <v>0</v>
      </c>
      <c r="G228" s="351">
        <f>G176-SUM($E202:G202)</f>
        <v>0</v>
      </c>
      <c r="H228" s="351">
        <f>H176-SUM($E202:H202)</f>
        <v>0</v>
      </c>
      <c r="I228" s="351">
        <f>I176-SUM($E202:I202)</f>
        <v>0</v>
      </c>
      <c r="J228" s="351">
        <f>J176-SUM($E202:J202)</f>
        <v>0</v>
      </c>
      <c r="K228" s="351">
        <f>K176-SUM($E202:K202)</f>
        <v>0</v>
      </c>
      <c r="L228" s="351">
        <f>L176-SUM($E202:L202)</f>
        <v>0</v>
      </c>
      <c r="M228" s="351">
        <f>M176-SUM($E202:M202)</f>
        <v>0</v>
      </c>
      <c r="N228" s="351">
        <f>N176-SUM($E202:N202)</f>
        <v>0</v>
      </c>
      <c r="O228" s="351">
        <f>O176-SUM($E202:O202)</f>
        <v>0</v>
      </c>
      <c r="P228" s="351">
        <f>P176-SUM($E202:P202)</f>
        <v>0</v>
      </c>
      <c r="Q228" s="351">
        <f>Q176-SUM($E202:Q202)</f>
        <v>0</v>
      </c>
    </row>
    <row r="229" spans="1:17" ht="10.5">
      <c r="A229" s="228"/>
      <c r="B229" s="228"/>
      <c r="C229" s="228"/>
      <c r="D229" s="297"/>
      <c r="E229" s="351">
        <f>E177-SUM($E203:E203)</f>
        <v>0</v>
      </c>
      <c r="F229" s="351">
        <f>F177-SUM($E203:F203)</f>
        <v>0</v>
      </c>
      <c r="G229" s="351">
        <f>G177-SUM($E203:G203)</f>
        <v>0</v>
      </c>
      <c r="H229" s="351">
        <f>H177-SUM($E203:H203)</f>
        <v>0</v>
      </c>
      <c r="I229" s="351">
        <f>I177-SUM($E203:I203)</f>
        <v>0</v>
      </c>
      <c r="J229" s="351">
        <f>J177-SUM($E203:J203)</f>
        <v>0</v>
      </c>
      <c r="K229" s="351">
        <f>K177-SUM($E203:K203)</f>
        <v>0</v>
      </c>
      <c r="L229" s="351">
        <f>L177-SUM($E203:L203)</f>
        <v>0</v>
      </c>
      <c r="M229" s="351">
        <f>M177-SUM($E203:M203)</f>
        <v>0</v>
      </c>
      <c r="N229" s="351">
        <f>N177-SUM($E203:N203)</f>
        <v>0</v>
      </c>
      <c r="O229" s="351">
        <f>O177-SUM($E203:O203)</f>
        <v>0</v>
      </c>
      <c r="P229" s="351">
        <f>P177-SUM($E203:P203)</f>
        <v>0</v>
      </c>
      <c r="Q229" s="351">
        <f>Q177-SUM($E203:Q203)</f>
        <v>0</v>
      </c>
    </row>
    <row r="230" spans="4:17" s="228" customFormat="1" ht="10.5">
      <c r="D230" s="297" t="s">
        <v>180</v>
      </c>
      <c r="E230" s="350">
        <f ca="1">SUM(E225:OFFSET(E225,ASS_COUNT_4-1,0))</f>
        <v>0</v>
      </c>
      <c r="F230" s="350">
        <f ca="1">SUM(F225:OFFSET(F225,ASS_COUNT_4-1,0))</f>
        <v>60000</v>
      </c>
      <c r="G230" s="350">
        <f ca="1">SUM(G225:OFFSET(G225,ASS_COUNT_4-1,0))</f>
        <v>58333.5</v>
      </c>
      <c r="H230" s="350">
        <f ca="1">SUM(H225:OFFSET(H225,ASS_COUNT_4-1,0))</f>
        <v>56667</v>
      </c>
      <c r="I230" s="350">
        <f ca="1">SUM(I225:OFFSET(I225,ASS_COUNT_4-1,0))</f>
        <v>55000.5</v>
      </c>
      <c r="J230" s="350">
        <f ca="1">SUM(J225:OFFSET(J225,ASS_COUNT_4-1,0))</f>
        <v>53334</v>
      </c>
      <c r="K230" s="350">
        <f ca="1">SUM(K225:OFFSET(K225,ASS_COUNT_4-1,0))</f>
        <v>51667.5</v>
      </c>
      <c r="L230" s="350">
        <f ca="1">SUM(L225:OFFSET(L225,ASS_COUNT_4-1,0))</f>
        <v>50001</v>
      </c>
      <c r="M230" s="350">
        <f ca="1">SUM(M225:OFFSET(M225,ASS_COUNT_4-1,0))</f>
        <v>48334.5</v>
      </c>
      <c r="N230" s="350">
        <f ca="1">SUM(N225:OFFSET(N225,ASS_COUNT_4-1,0))</f>
        <v>46668</v>
      </c>
      <c r="O230" s="350">
        <f ca="1">SUM(O225:OFFSET(O225,ASS_COUNT_4-1,0))</f>
        <v>45001.5</v>
      </c>
      <c r="P230" s="350">
        <f ca="1">SUM(P225:OFFSET(P225,ASS_COUNT_4-1,0))</f>
        <v>43335</v>
      </c>
      <c r="Q230" s="350">
        <f ca="1">SUM(Q225:OFFSET(Q225,ASS_COUNT_4-1,0))</f>
        <v>41668.5</v>
      </c>
    </row>
    <row r="231" spans="1:5" s="298" customFormat="1" ht="10.5">
      <c r="A231" s="298" t="s">
        <v>231</v>
      </c>
      <c r="D231" s="299"/>
      <c r="E231" s="298" t="s">
        <v>238</v>
      </c>
    </row>
    <row r="232" spans="1:17" ht="10.5">
      <c r="A232" s="228"/>
      <c r="B232" s="228"/>
      <c r="C232" s="228"/>
      <c r="D232" s="297"/>
      <c r="E232" s="351">
        <f>E180-SUM($E206:E206)</f>
        <v>0</v>
      </c>
      <c r="F232" s="351">
        <f>F180-SUM($E206:F206)</f>
        <v>100000</v>
      </c>
      <c r="G232" s="351">
        <f>G180-SUM($E206:G206)</f>
        <v>98333.33333333333</v>
      </c>
      <c r="H232" s="351">
        <f>H180-SUM($E206:H206)</f>
        <v>96666.66666666667</v>
      </c>
      <c r="I232" s="351">
        <f>I180-SUM($E206:I206)</f>
        <v>95000</v>
      </c>
      <c r="J232" s="351">
        <f>J180-SUM($E206:J206)</f>
        <v>93333.33333333333</v>
      </c>
      <c r="K232" s="351">
        <f>K180-SUM($E206:K206)</f>
        <v>91666.66666666667</v>
      </c>
      <c r="L232" s="351">
        <f>L180-SUM($E206:L206)</f>
        <v>90000</v>
      </c>
      <c r="M232" s="351">
        <f>M180-SUM($E206:M206)</f>
        <v>88333.33333333333</v>
      </c>
      <c r="N232" s="351">
        <f>N180-SUM($E206:N206)</f>
        <v>86666.66666666667</v>
      </c>
      <c r="O232" s="351">
        <f>O180-SUM($E206:O206)</f>
        <v>85000</v>
      </c>
      <c r="P232" s="351">
        <f>P180-SUM($E206:P206)</f>
        <v>83333.33333333334</v>
      </c>
      <c r="Q232" s="351">
        <f>Q180-SUM($E206:Q206)</f>
        <v>81666.66666666667</v>
      </c>
    </row>
    <row r="233" spans="1:17" ht="10.5">
      <c r="A233" s="228"/>
      <c r="B233" s="228"/>
      <c r="C233" s="228"/>
      <c r="D233" s="297"/>
      <c r="E233" s="351">
        <f>E181-SUM($E207:E207)</f>
        <v>0</v>
      </c>
      <c r="F233" s="351">
        <f>F181-SUM($E207:F207)</f>
        <v>50000</v>
      </c>
      <c r="G233" s="351">
        <f>G181-SUM($E207:G207)</f>
        <v>49166.666666666664</v>
      </c>
      <c r="H233" s="351">
        <f>H181-SUM($E207:H207)</f>
        <v>48333.333333333336</v>
      </c>
      <c r="I233" s="351">
        <f>I181-SUM($E207:I207)</f>
        <v>47500</v>
      </c>
      <c r="J233" s="351">
        <f>J181-SUM($E207:J207)</f>
        <v>46666.666666666664</v>
      </c>
      <c r="K233" s="351">
        <f>K181-SUM($E207:K207)</f>
        <v>45833.333333333336</v>
      </c>
      <c r="L233" s="351">
        <f>L181-SUM($E207:L207)</f>
        <v>45000</v>
      </c>
      <c r="M233" s="351">
        <f>M181-SUM($E207:M207)</f>
        <v>44166.666666666664</v>
      </c>
      <c r="N233" s="351">
        <f>N181-SUM($E207:N207)</f>
        <v>43333.333333333336</v>
      </c>
      <c r="O233" s="351">
        <f>O181-SUM($E207:O207)</f>
        <v>42500</v>
      </c>
      <c r="P233" s="351">
        <f>P181-SUM($E207:P207)</f>
        <v>41666.66666666667</v>
      </c>
      <c r="Q233" s="351">
        <f>Q181-SUM($E207:Q207)</f>
        <v>40833.333333333336</v>
      </c>
    </row>
    <row r="234" spans="1:17" ht="10.5">
      <c r="A234" s="228"/>
      <c r="B234" s="228"/>
      <c r="C234" s="228"/>
      <c r="D234" s="297"/>
      <c r="E234" s="351">
        <f>E182-SUM($E208:E208)</f>
        <v>0</v>
      </c>
      <c r="F234" s="351">
        <f>F182-SUM($E208:F208)</f>
        <v>100000</v>
      </c>
      <c r="G234" s="351">
        <f>G182-SUM($E208:G208)</f>
        <v>98333.33333333333</v>
      </c>
      <c r="H234" s="351">
        <f>H182-SUM($E208:H208)</f>
        <v>96666.66666666667</v>
      </c>
      <c r="I234" s="351">
        <f>I182-SUM($E208:I208)</f>
        <v>95000</v>
      </c>
      <c r="J234" s="351">
        <f>J182-SUM($E208:J208)</f>
        <v>93333.33333333333</v>
      </c>
      <c r="K234" s="351">
        <f>K182-SUM($E208:K208)</f>
        <v>91666.66666666667</v>
      </c>
      <c r="L234" s="351">
        <f>L182-SUM($E208:L208)</f>
        <v>90000</v>
      </c>
      <c r="M234" s="351">
        <f>M182-SUM($E208:M208)</f>
        <v>88333.33333333333</v>
      </c>
      <c r="N234" s="351">
        <f>N182-SUM($E208:N208)</f>
        <v>86666.66666666667</v>
      </c>
      <c r="O234" s="351">
        <f>O182-SUM($E208:O208)</f>
        <v>85000</v>
      </c>
      <c r="P234" s="351">
        <f>P182-SUM($E208:P208)</f>
        <v>83333.33333333334</v>
      </c>
      <c r="Q234" s="351">
        <f>Q182-SUM($E208:Q208)</f>
        <v>81666.66666666667</v>
      </c>
    </row>
    <row r="235" spans="1:17" ht="10.5">
      <c r="A235" s="228"/>
      <c r="B235" s="228"/>
      <c r="C235" s="228"/>
      <c r="D235" s="297"/>
      <c r="E235" s="351">
        <f>E183-SUM($E209:E209)</f>
        <v>0</v>
      </c>
      <c r="F235" s="351">
        <f>F183-SUM($E209:F209)</f>
        <v>0</v>
      </c>
      <c r="G235" s="351">
        <f>G183-SUM($E209:G209)</f>
        <v>0</v>
      </c>
      <c r="H235" s="351">
        <f>H183-SUM($E209:H209)</f>
        <v>0</v>
      </c>
      <c r="I235" s="351">
        <f>I183-SUM($E209:I209)</f>
        <v>0</v>
      </c>
      <c r="J235" s="351">
        <f>J183-SUM($E209:J209)</f>
        <v>0</v>
      </c>
      <c r="K235" s="351">
        <f>K183-SUM($E209:K209)</f>
        <v>0</v>
      </c>
      <c r="L235" s="351">
        <f>L183-SUM($E209:L209)</f>
        <v>0</v>
      </c>
      <c r="M235" s="351">
        <f>M183-SUM($E209:M209)</f>
        <v>0</v>
      </c>
      <c r="N235" s="351">
        <f>N183-SUM($E209:N209)</f>
        <v>0</v>
      </c>
      <c r="O235" s="351">
        <f>O183-SUM($E209:O209)</f>
        <v>0</v>
      </c>
      <c r="P235" s="351">
        <f>P183-SUM($E209:P209)</f>
        <v>0</v>
      </c>
      <c r="Q235" s="351">
        <f>Q183-SUM($E209:Q209)</f>
        <v>0</v>
      </c>
    </row>
    <row r="236" spans="4:17" s="228" customFormat="1" ht="10.5">
      <c r="D236" s="297" t="s">
        <v>180</v>
      </c>
      <c r="E236" s="350">
        <f ca="1">SUM(E232:OFFSET(E232,ASS_COUNT_5-1,0))</f>
        <v>0</v>
      </c>
      <c r="F236" s="350">
        <f ca="1">SUM(F232:OFFSET(F232,ASS_COUNT_5-1,0))</f>
        <v>250000</v>
      </c>
      <c r="G236" s="350">
        <f ca="1">SUM(G232:OFFSET(G232,ASS_COUNT_5-1,0))</f>
        <v>245833.3333333333</v>
      </c>
      <c r="H236" s="350">
        <f ca="1">SUM(H232:OFFSET(H232,ASS_COUNT_5-1,0))</f>
        <v>241666.6666666667</v>
      </c>
      <c r="I236" s="350">
        <f ca="1">SUM(I232:OFFSET(I232,ASS_COUNT_5-1,0))</f>
        <v>237500</v>
      </c>
      <c r="J236" s="350">
        <f ca="1">SUM(J232:OFFSET(J232,ASS_COUNT_5-1,0))</f>
        <v>233333.3333333333</v>
      </c>
      <c r="K236" s="350">
        <f ca="1">SUM(K232:OFFSET(K232,ASS_COUNT_5-1,0))</f>
        <v>229166.6666666667</v>
      </c>
      <c r="L236" s="350">
        <f ca="1">SUM(L232:OFFSET(L232,ASS_COUNT_5-1,0))</f>
        <v>225000</v>
      </c>
      <c r="M236" s="350">
        <f ca="1">SUM(M232:OFFSET(M232,ASS_COUNT_5-1,0))</f>
        <v>220833.3333333333</v>
      </c>
      <c r="N236" s="350">
        <f ca="1">SUM(N232:OFFSET(N232,ASS_COUNT_5-1,0))</f>
        <v>216666.6666666667</v>
      </c>
      <c r="O236" s="350">
        <f ca="1">SUM(O232:OFFSET(O232,ASS_COUNT_5-1,0))</f>
        <v>212500</v>
      </c>
      <c r="P236" s="350">
        <f ca="1">SUM(P232:OFFSET(P232,ASS_COUNT_5-1,0))</f>
        <v>208333.33333333337</v>
      </c>
      <c r="Q236" s="350">
        <f ca="1">SUM(Q232:OFFSET(Q232,ASS_COUNT_5-1,0))</f>
        <v>204166.6666666667</v>
      </c>
    </row>
    <row r="237" spans="1:5" s="298" customFormat="1" ht="10.5">
      <c r="A237" s="298" t="s">
        <v>227</v>
      </c>
      <c r="D237" s="299"/>
      <c r="E237" s="298" t="s">
        <v>115</v>
      </c>
    </row>
    <row r="238" spans="1:17" ht="10.5">
      <c r="A238" s="228"/>
      <c r="B238" s="228"/>
      <c r="C238" s="228"/>
      <c r="D238" s="297"/>
      <c r="E238" s="351">
        <f aca="true" t="shared" si="41" ref="E238:J238">IF($D82&gt;COLUMN()-4,E82,0)</f>
        <v>0</v>
      </c>
      <c r="F238" s="351">
        <f t="shared" si="41"/>
        <v>0</v>
      </c>
      <c r="G238" s="351">
        <f t="shared" si="41"/>
        <v>0</v>
      </c>
      <c r="H238" s="351">
        <f t="shared" si="41"/>
        <v>0</v>
      </c>
      <c r="I238" s="351">
        <f t="shared" si="41"/>
        <v>0</v>
      </c>
      <c r="J238" s="351">
        <f t="shared" si="41"/>
        <v>0</v>
      </c>
      <c r="K238" s="351">
        <f aca="true" t="shared" si="42" ref="K238:Q238">IF($D82&gt;COLUMN()-4,K82,0)</f>
        <v>0</v>
      </c>
      <c r="L238" s="351">
        <f t="shared" si="42"/>
        <v>0</v>
      </c>
      <c r="M238" s="351">
        <f t="shared" si="42"/>
        <v>0</v>
      </c>
      <c r="N238" s="351">
        <f t="shared" si="42"/>
        <v>0</v>
      </c>
      <c r="O238" s="351">
        <f t="shared" si="42"/>
        <v>0</v>
      </c>
      <c r="P238" s="351">
        <f t="shared" si="42"/>
        <v>0</v>
      </c>
      <c r="Q238" s="351">
        <f t="shared" si="42"/>
        <v>0</v>
      </c>
    </row>
    <row r="239" spans="4:17" s="228" customFormat="1" ht="10.5">
      <c r="D239" s="297" t="s">
        <v>180</v>
      </c>
      <c r="E239" s="350">
        <f ca="1">SUM(E238:OFFSET(E238,ASS_COUNT_1-1,0))</f>
        <v>0</v>
      </c>
      <c r="F239" s="350">
        <f ca="1">SUM(F238:OFFSET(F238,ASS_COUNT_1-1,0))</f>
        <v>0</v>
      </c>
      <c r="G239" s="350">
        <f ca="1">SUM(G238:OFFSET(G238,ASS_COUNT_1-1,0))</f>
        <v>0</v>
      </c>
      <c r="H239" s="350">
        <f ca="1">SUM(H238:OFFSET(H238,ASS_COUNT_1-1,0))</f>
        <v>0</v>
      </c>
      <c r="I239" s="350">
        <f ca="1">SUM(I238:OFFSET(I238,ASS_COUNT_1-1,0))</f>
        <v>0</v>
      </c>
      <c r="J239" s="350">
        <f ca="1">SUM(J238:OFFSET(J238,ASS_COUNT_1-1,0))</f>
        <v>0</v>
      </c>
      <c r="K239" s="350">
        <f ca="1">SUM(K238:OFFSET(K238,ASS_COUNT_1-1,0))</f>
        <v>0</v>
      </c>
      <c r="L239" s="350">
        <f ca="1">SUM(L238:OFFSET(L238,ASS_COUNT_1-1,0))</f>
        <v>0</v>
      </c>
      <c r="M239" s="350">
        <f ca="1">SUM(M238:OFFSET(M238,ASS_COUNT_1-1,0))</f>
        <v>0</v>
      </c>
      <c r="N239" s="350">
        <f ca="1">SUM(N238:OFFSET(N238,ASS_COUNT_1-1,0))</f>
        <v>0</v>
      </c>
      <c r="O239" s="350">
        <f ca="1">SUM(O238:OFFSET(O238,ASS_COUNT_1-1,0))</f>
        <v>0</v>
      </c>
      <c r="P239" s="350">
        <f ca="1">SUM(P238:OFFSET(P238,ASS_COUNT_1-1,0))</f>
        <v>0</v>
      </c>
      <c r="Q239" s="350">
        <f ca="1">SUM(Q238:OFFSET(Q238,ASS_COUNT_1-1,0))</f>
        <v>0</v>
      </c>
    </row>
    <row r="240" spans="1:5" s="298" customFormat="1" ht="10.5">
      <c r="A240" s="298" t="s">
        <v>228</v>
      </c>
      <c r="D240" s="299"/>
      <c r="E240" s="298" t="s">
        <v>115</v>
      </c>
    </row>
    <row r="241" spans="1:17" ht="10.5">
      <c r="A241" s="228"/>
      <c r="B241" s="228"/>
      <c r="C241" s="228"/>
      <c r="D241" s="297"/>
      <c r="E241" s="351">
        <f aca="true" t="shared" si="43" ref="E241:J244">IF($D85&gt;COLUMN()-4,E85,0)</f>
        <v>0</v>
      </c>
      <c r="F241" s="351">
        <f t="shared" si="43"/>
        <v>0</v>
      </c>
      <c r="G241" s="351">
        <f t="shared" si="43"/>
        <v>0</v>
      </c>
      <c r="H241" s="351">
        <f t="shared" si="43"/>
        <v>0</v>
      </c>
      <c r="I241" s="351">
        <f t="shared" si="43"/>
        <v>0</v>
      </c>
      <c r="J241" s="351">
        <f t="shared" si="43"/>
        <v>0</v>
      </c>
      <c r="K241" s="351">
        <f aca="true" t="shared" si="44" ref="K241:Q241">IF($D85&gt;COLUMN()-4,K85,0)</f>
        <v>0</v>
      </c>
      <c r="L241" s="351">
        <f t="shared" si="44"/>
        <v>0</v>
      </c>
      <c r="M241" s="351">
        <f t="shared" si="44"/>
        <v>0</v>
      </c>
      <c r="N241" s="351">
        <f t="shared" si="44"/>
        <v>0</v>
      </c>
      <c r="O241" s="351">
        <f t="shared" si="44"/>
        <v>0</v>
      </c>
      <c r="P241" s="351">
        <f t="shared" si="44"/>
        <v>0</v>
      </c>
      <c r="Q241" s="351">
        <f t="shared" si="44"/>
        <v>0</v>
      </c>
    </row>
    <row r="242" spans="1:17" ht="10.5">
      <c r="A242" s="228"/>
      <c r="B242" s="228"/>
      <c r="C242" s="228"/>
      <c r="D242" s="297"/>
      <c r="E242" s="351">
        <f t="shared" si="43"/>
        <v>0</v>
      </c>
      <c r="F242" s="351">
        <f t="shared" si="43"/>
        <v>0</v>
      </c>
      <c r="G242" s="351">
        <f t="shared" si="43"/>
        <v>0</v>
      </c>
      <c r="H242" s="351">
        <f t="shared" si="43"/>
        <v>0</v>
      </c>
      <c r="I242" s="351">
        <f t="shared" si="43"/>
        <v>0</v>
      </c>
      <c r="J242" s="351">
        <f t="shared" si="43"/>
        <v>0</v>
      </c>
      <c r="K242" s="351">
        <f aca="true" t="shared" si="45" ref="K242:Q244">IF($D86&gt;COLUMN()-4,K86,0)</f>
        <v>0</v>
      </c>
      <c r="L242" s="351">
        <f t="shared" si="45"/>
        <v>0</v>
      </c>
      <c r="M242" s="351">
        <f t="shared" si="45"/>
        <v>0</v>
      </c>
      <c r="N242" s="351">
        <f t="shared" si="45"/>
        <v>0</v>
      </c>
      <c r="O242" s="351">
        <f t="shared" si="45"/>
        <v>0</v>
      </c>
      <c r="P242" s="351">
        <f t="shared" si="45"/>
        <v>0</v>
      </c>
      <c r="Q242" s="351">
        <f t="shared" si="45"/>
        <v>0</v>
      </c>
    </row>
    <row r="243" spans="1:17" ht="10.5">
      <c r="A243" s="228"/>
      <c r="B243" s="228"/>
      <c r="C243" s="228"/>
      <c r="D243" s="297"/>
      <c r="E243" s="351">
        <f t="shared" si="43"/>
        <v>0</v>
      </c>
      <c r="F243" s="351">
        <f t="shared" si="43"/>
        <v>0</v>
      </c>
      <c r="G243" s="351">
        <f t="shared" si="43"/>
        <v>0</v>
      </c>
      <c r="H243" s="351">
        <f t="shared" si="43"/>
        <v>0</v>
      </c>
      <c r="I243" s="351">
        <f t="shared" si="43"/>
        <v>0</v>
      </c>
      <c r="J243" s="351">
        <f t="shared" si="43"/>
        <v>0</v>
      </c>
      <c r="K243" s="351">
        <f t="shared" si="45"/>
        <v>0</v>
      </c>
      <c r="L243" s="351">
        <f t="shared" si="45"/>
        <v>0</v>
      </c>
      <c r="M243" s="351">
        <f t="shared" si="45"/>
        <v>0</v>
      </c>
      <c r="N243" s="351">
        <f t="shared" si="45"/>
        <v>0</v>
      </c>
      <c r="O243" s="351">
        <f t="shared" si="45"/>
        <v>0</v>
      </c>
      <c r="P243" s="351">
        <f t="shared" si="45"/>
        <v>0</v>
      </c>
      <c r="Q243" s="351">
        <f t="shared" si="45"/>
        <v>0</v>
      </c>
    </row>
    <row r="244" spans="1:17" ht="10.5">
      <c r="A244" s="228"/>
      <c r="B244" s="228"/>
      <c r="C244" s="228"/>
      <c r="D244" s="297"/>
      <c r="E244" s="351">
        <f t="shared" si="43"/>
        <v>0</v>
      </c>
      <c r="F244" s="351">
        <f t="shared" si="43"/>
        <v>0</v>
      </c>
      <c r="G244" s="351">
        <f t="shared" si="43"/>
        <v>0</v>
      </c>
      <c r="H244" s="351">
        <f t="shared" si="43"/>
        <v>0</v>
      </c>
      <c r="I244" s="351">
        <f t="shared" si="43"/>
        <v>0</v>
      </c>
      <c r="J244" s="351">
        <f t="shared" si="43"/>
        <v>0</v>
      </c>
      <c r="K244" s="351">
        <f t="shared" si="45"/>
        <v>0</v>
      </c>
      <c r="L244" s="351">
        <f t="shared" si="45"/>
        <v>0</v>
      </c>
      <c r="M244" s="351">
        <f t="shared" si="45"/>
        <v>0</v>
      </c>
      <c r="N244" s="351">
        <f t="shared" si="45"/>
        <v>0</v>
      </c>
      <c r="O244" s="351">
        <f t="shared" si="45"/>
        <v>0</v>
      </c>
      <c r="P244" s="351">
        <f t="shared" si="45"/>
        <v>0</v>
      </c>
      <c r="Q244" s="351">
        <f t="shared" si="45"/>
        <v>0</v>
      </c>
    </row>
    <row r="245" spans="4:17" s="228" customFormat="1" ht="10.5">
      <c r="D245" s="297" t="s">
        <v>180</v>
      </c>
      <c r="E245" s="350">
        <f ca="1">SUM(E241:OFFSET(E241,ASS_COUNT_2-1,0))</f>
        <v>0</v>
      </c>
      <c r="F245" s="350">
        <f ca="1">SUM(F241:OFFSET(F241,ASS_COUNT_2-1,0))</f>
        <v>0</v>
      </c>
      <c r="G245" s="350">
        <f ca="1">SUM(G241:OFFSET(G241,ASS_COUNT_2-1,0))</f>
        <v>0</v>
      </c>
      <c r="H245" s="350">
        <f ca="1">SUM(H241:OFFSET(H241,ASS_COUNT_2-1,0))</f>
        <v>0</v>
      </c>
      <c r="I245" s="350">
        <f ca="1">SUM(I241:OFFSET(I241,ASS_COUNT_2-1,0))</f>
        <v>0</v>
      </c>
      <c r="J245" s="350">
        <f ca="1">SUM(J241:OFFSET(J241,ASS_COUNT_2-1,0))</f>
        <v>0</v>
      </c>
      <c r="K245" s="350">
        <f ca="1">SUM(K241:OFFSET(K241,ASS_COUNT_2-1,0))</f>
        <v>0</v>
      </c>
      <c r="L245" s="350">
        <f ca="1">SUM(L241:OFFSET(L241,ASS_COUNT_2-1,0))</f>
        <v>0</v>
      </c>
      <c r="M245" s="350">
        <f ca="1">SUM(M241:OFFSET(M241,ASS_COUNT_2-1,0))</f>
        <v>0</v>
      </c>
      <c r="N245" s="350">
        <f ca="1">SUM(N241:OFFSET(N241,ASS_COUNT_2-1,0))</f>
        <v>0</v>
      </c>
      <c r="O245" s="350">
        <f ca="1">SUM(O241:OFFSET(O241,ASS_COUNT_2-1,0))</f>
        <v>0</v>
      </c>
      <c r="P245" s="350">
        <f ca="1">SUM(P241:OFFSET(P241,ASS_COUNT_2-1,0))</f>
        <v>0</v>
      </c>
      <c r="Q245" s="350">
        <f ca="1">SUM(Q241:OFFSET(Q241,ASS_COUNT_2-1,0))</f>
        <v>0</v>
      </c>
    </row>
    <row r="246" spans="1:5" s="298" customFormat="1" ht="10.5">
      <c r="A246" s="298" t="s">
        <v>229</v>
      </c>
      <c r="D246" s="299"/>
      <c r="E246" s="298" t="s">
        <v>115</v>
      </c>
    </row>
    <row r="247" spans="1:17" ht="10.5">
      <c r="A247" s="228"/>
      <c r="B247" s="228"/>
      <c r="C247" s="228"/>
      <c r="D247" s="297"/>
      <c r="E247" s="351">
        <f aca="true" t="shared" si="46" ref="E247:J248">IF($D91&gt;COLUMN()-4,E91,0)</f>
        <v>0</v>
      </c>
      <c r="F247" s="351">
        <f t="shared" si="46"/>
        <v>0</v>
      </c>
      <c r="G247" s="351">
        <f t="shared" si="46"/>
        <v>0</v>
      </c>
      <c r="H247" s="351">
        <f t="shared" si="46"/>
        <v>0</v>
      </c>
      <c r="I247" s="351">
        <f t="shared" si="46"/>
        <v>0</v>
      </c>
      <c r="J247" s="351">
        <f t="shared" si="46"/>
        <v>0</v>
      </c>
      <c r="K247" s="351">
        <f aca="true" t="shared" si="47" ref="K247:Q248">IF($D91&gt;COLUMN()-4,K91,0)</f>
        <v>0</v>
      </c>
      <c r="L247" s="351">
        <f t="shared" si="47"/>
        <v>0</v>
      </c>
      <c r="M247" s="351">
        <f t="shared" si="47"/>
        <v>0</v>
      </c>
      <c r="N247" s="351">
        <f t="shared" si="47"/>
        <v>0</v>
      </c>
      <c r="O247" s="351">
        <f t="shared" si="47"/>
        <v>0</v>
      </c>
      <c r="P247" s="351">
        <f t="shared" si="47"/>
        <v>0</v>
      </c>
      <c r="Q247" s="351">
        <f t="shared" si="47"/>
        <v>0</v>
      </c>
    </row>
    <row r="248" spans="1:17" ht="10.5">
      <c r="A248" s="228"/>
      <c r="B248" s="228"/>
      <c r="C248" s="228"/>
      <c r="D248" s="297"/>
      <c r="E248" s="351">
        <f t="shared" si="46"/>
        <v>0</v>
      </c>
      <c r="F248" s="351">
        <f t="shared" si="46"/>
        <v>0</v>
      </c>
      <c r="G248" s="351">
        <f t="shared" si="46"/>
        <v>0</v>
      </c>
      <c r="H248" s="351">
        <f t="shared" si="46"/>
        <v>0</v>
      </c>
      <c r="I248" s="351">
        <f t="shared" si="46"/>
        <v>0</v>
      </c>
      <c r="J248" s="351">
        <f t="shared" si="46"/>
        <v>0</v>
      </c>
      <c r="K248" s="351">
        <f t="shared" si="47"/>
        <v>0</v>
      </c>
      <c r="L248" s="351">
        <f t="shared" si="47"/>
        <v>0</v>
      </c>
      <c r="M248" s="351">
        <f t="shared" si="47"/>
        <v>0</v>
      </c>
      <c r="N248" s="351">
        <f t="shared" si="47"/>
        <v>0</v>
      </c>
      <c r="O248" s="351">
        <f t="shared" si="47"/>
        <v>0</v>
      </c>
      <c r="P248" s="351">
        <f t="shared" si="47"/>
        <v>0</v>
      </c>
      <c r="Q248" s="351">
        <f t="shared" si="47"/>
        <v>0</v>
      </c>
    </row>
    <row r="249" spans="4:17" s="228" customFormat="1" ht="10.5">
      <c r="D249" s="297" t="s">
        <v>180</v>
      </c>
      <c r="E249" s="350">
        <f ca="1">SUM(E247:OFFSET(E247,ASS_COUNT_3-1,0))</f>
        <v>0</v>
      </c>
      <c r="F249" s="350">
        <f ca="1">SUM(F247:OFFSET(F247,ASS_COUNT_3-1,0))</f>
        <v>0</v>
      </c>
      <c r="G249" s="350">
        <f ca="1">SUM(G247:OFFSET(G247,ASS_COUNT_3-1,0))</f>
        <v>0</v>
      </c>
      <c r="H249" s="350">
        <f ca="1">SUM(H247:OFFSET(H247,ASS_COUNT_3-1,0))</f>
        <v>0</v>
      </c>
      <c r="I249" s="350">
        <f ca="1">SUM(I247:OFFSET(I247,ASS_COUNT_3-1,0))</f>
        <v>0</v>
      </c>
      <c r="J249" s="350">
        <f ca="1">SUM(J247:OFFSET(J247,ASS_COUNT_3-1,0))</f>
        <v>0</v>
      </c>
      <c r="K249" s="350">
        <f ca="1">SUM(K247:OFFSET(K247,ASS_COUNT_3-1,0))</f>
        <v>0</v>
      </c>
      <c r="L249" s="350">
        <f ca="1">SUM(L247:OFFSET(L247,ASS_COUNT_3-1,0))</f>
        <v>0</v>
      </c>
      <c r="M249" s="350">
        <f ca="1">SUM(M247:OFFSET(M247,ASS_COUNT_3-1,0))</f>
        <v>0</v>
      </c>
      <c r="N249" s="350">
        <f ca="1">SUM(N247:OFFSET(N247,ASS_COUNT_3-1,0))</f>
        <v>0</v>
      </c>
      <c r="O249" s="350">
        <f ca="1">SUM(O247:OFFSET(O247,ASS_COUNT_3-1,0))</f>
        <v>0</v>
      </c>
      <c r="P249" s="350">
        <f ca="1">SUM(P247:OFFSET(P247,ASS_COUNT_3-1,0))</f>
        <v>0</v>
      </c>
      <c r="Q249" s="350">
        <f ca="1">SUM(Q247:OFFSET(Q247,ASS_COUNT_3-1,0))</f>
        <v>0</v>
      </c>
    </row>
    <row r="250" spans="1:5" s="298" customFormat="1" ht="10.5">
      <c r="A250" s="298" t="s">
        <v>230</v>
      </c>
      <c r="D250" s="299"/>
      <c r="E250" s="298" t="s">
        <v>115</v>
      </c>
    </row>
    <row r="251" spans="1:17" ht="10.5">
      <c r="A251" s="228"/>
      <c r="B251" s="228"/>
      <c r="C251" s="228"/>
      <c r="D251" s="297"/>
      <c r="E251" s="351">
        <f aca="true" t="shared" si="48" ref="E251:J255">IF($D95&gt;COLUMN()-4,E95,0)</f>
        <v>0</v>
      </c>
      <c r="F251" s="351">
        <f t="shared" si="48"/>
        <v>0</v>
      </c>
      <c r="G251" s="351">
        <f t="shared" si="48"/>
        <v>0</v>
      </c>
      <c r="H251" s="351">
        <f t="shared" si="48"/>
        <v>0</v>
      </c>
      <c r="I251" s="351">
        <f t="shared" si="48"/>
        <v>0</v>
      </c>
      <c r="J251" s="351">
        <f t="shared" si="48"/>
        <v>0</v>
      </c>
      <c r="K251" s="351">
        <f aca="true" t="shared" si="49" ref="K251:Q251">IF($D95&gt;COLUMN()-4,K95,0)</f>
        <v>0</v>
      </c>
      <c r="L251" s="351">
        <f t="shared" si="49"/>
        <v>0</v>
      </c>
      <c r="M251" s="351">
        <f t="shared" si="49"/>
        <v>0</v>
      </c>
      <c r="N251" s="351">
        <f t="shared" si="49"/>
        <v>0</v>
      </c>
      <c r="O251" s="351">
        <f t="shared" si="49"/>
        <v>0</v>
      </c>
      <c r="P251" s="351">
        <f t="shared" si="49"/>
        <v>0</v>
      </c>
      <c r="Q251" s="351">
        <f t="shared" si="49"/>
        <v>0</v>
      </c>
    </row>
    <row r="252" spans="1:17" ht="10.5">
      <c r="A252" s="228"/>
      <c r="B252" s="228"/>
      <c r="C252" s="228"/>
      <c r="D252" s="297"/>
      <c r="E252" s="351">
        <f t="shared" si="48"/>
        <v>0</v>
      </c>
      <c r="F252" s="351">
        <f t="shared" si="48"/>
        <v>0</v>
      </c>
      <c r="G252" s="351">
        <f t="shared" si="48"/>
        <v>0</v>
      </c>
      <c r="H252" s="351">
        <f t="shared" si="48"/>
        <v>0</v>
      </c>
      <c r="I252" s="351">
        <f t="shared" si="48"/>
        <v>0</v>
      </c>
      <c r="J252" s="351">
        <f t="shared" si="48"/>
        <v>0</v>
      </c>
      <c r="K252" s="351">
        <f aca="true" t="shared" si="50" ref="K252:Q255">IF($D96&gt;COLUMN()-4,K96,0)</f>
        <v>0</v>
      </c>
      <c r="L252" s="351">
        <f t="shared" si="50"/>
        <v>0</v>
      </c>
      <c r="M252" s="351">
        <f t="shared" si="50"/>
        <v>0</v>
      </c>
      <c r="N252" s="351">
        <f t="shared" si="50"/>
        <v>0</v>
      </c>
      <c r="O252" s="351">
        <f t="shared" si="50"/>
        <v>0</v>
      </c>
      <c r="P252" s="351">
        <f t="shared" si="50"/>
        <v>0</v>
      </c>
      <c r="Q252" s="351">
        <f t="shared" si="50"/>
        <v>0</v>
      </c>
    </row>
    <row r="253" spans="1:17" ht="10.5">
      <c r="A253" s="228"/>
      <c r="B253" s="228"/>
      <c r="C253" s="228"/>
      <c r="D253" s="297"/>
      <c r="E253" s="351">
        <f t="shared" si="48"/>
        <v>0</v>
      </c>
      <c r="F253" s="351">
        <f t="shared" si="48"/>
        <v>0</v>
      </c>
      <c r="G253" s="351">
        <f t="shared" si="48"/>
        <v>0</v>
      </c>
      <c r="H253" s="351">
        <f t="shared" si="48"/>
        <v>0</v>
      </c>
      <c r="I253" s="351">
        <f t="shared" si="48"/>
        <v>0</v>
      </c>
      <c r="J253" s="351">
        <f t="shared" si="48"/>
        <v>0</v>
      </c>
      <c r="K253" s="351">
        <f t="shared" si="50"/>
        <v>0</v>
      </c>
      <c r="L253" s="351">
        <f t="shared" si="50"/>
        <v>0</v>
      </c>
      <c r="M253" s="351">
        <f t="shared" si="50"/>
        <v>0</v>
      </c>
      <c r="N253" s="351">
        <f t="shared" si="50"/>
        <v>0</v>
      </c>
      <c r="O253" s="351">
        <f t="shared" si="50"/>
        <v>0</v>
      </c>
      <c r="P253" s="351">
        <f t="shared" si="50"/>
        <v>0</v>
      </c>
      <c r="Q253" s="351">
        <f t="shared" si="50"/>
        <v>0</v>
      </c>
    </row>
    <row r="254" spans="1:17" ht="10.5">
      <c r="A254" s="228"/>
      <c r="B254" s="228"/>
      <c r="C254" s="228"/>
      <c r="D254" s="297"/>
      <c r="E254" s="351">
        <f t="shared" si="48"/>
        <v>0</v>
      </c>
      <c r="F254" s="351">
        <f t="shared" si="48"/>
        <v>0</v>
      </c>
      <c r="G254" s="351">
        <f t="shared" si="48"/>
        <v>0</v>
      </c>
      <c r="H254" s="351">
        <f t="shared" si="48"/>
        <v>0</v>
      </c>
      <c r="I254" s="351">
        <f t="shared" si="48"/>
        <v>0</v>
      </c>
      <c r="J254" s="351">
        <f t="shared" si="48"/>
        <v>0</v>
      </c>
      <c r="K254" s="351">
        <f t="shared" si="50"/>
        <v>0</v>
      </c>
      <c r="L254" s="351">
        <f t="shared" si="50"/>
        <v>0</v>
      </c>
      <c r="M254" s="351">
        <f t="shared" si="50"/>
        <v>0</v>
      </c>
      <c r="N254" s="351">
        <f t="shared" si="50"/>
        <v>0</v>
      </c>
      <c r="O254" s="351">
        <f t="shared" si="50"/>
        <v>0</v>
      </c>
      <c r="P254" s="351">
        <f t="shared" si="50"/>
        <v>0</v>
      </c>
      <c r="Q254" s="351">
        <f t="shared" si="50"/>
        <v>0</v>
      </c>
    </row>
    <row r="255" spans="1:17" ht="10.5">
      <c r="A255" s="228"/>
      <c r="B255" s="228"/>
      <c r="C255" s="228"/>
      <c r="D255" s="297"/>
      <c r="E255" s="351">
        <f t="shared" si="48"/>
        <v>0</v>
      </c>
      <c r="F255" s="351">
        <f t="shared" si="48"/>
        <v>0</v>
      </c>
      <c r="G255" s="351">
        <f t="shared" si="48"/>
        <v>0</v>
      </c>
      <c r="H255" s="351">
        <f t="shared" si="48"/>
        <v>0</v>
      </c>
      <c r="I255" s="351">
        <f t="shared" si="48"/>
        <v>0</v>
      </c>
      <c r="J255" s="351">
        <f t="shared" si="48"/>
        <v>0</v>
      </c>
      <c r="K255" s="351">
        <f t="shared" si="50"/>
        <v>0</v>
      </c>
      <c r="L255" s="351">
        <f t="shared" si="50"/>
        <v>0</v>
      </c>
      <c r="M255" s="351">
        <f t="shared" si="50"/>
        <v>0</v>
      </c>
      <c r="N255" s="351">
        <f t="shared" si="50"/>
        <v>0</v>
      </c>
      <c r="O255" s="351">
        <f t="shared" si="50"/>
        <v>0</v>
      </c>
      <c r="P255" s="351">
        <f t="shared" si="50"/>
        <v>0</v>
      </c>
      <c r="Q255" s="351">
        <f t="shared" si="50"/>
        <v>0</v>
      </c>
    </row>
    <row r="256" spans="4:17" s="228" customFormat="1" ht="10.5">
      <c r="D256" s="297" t="s">
        <v>180</v>
      </c>
      <c r="E256" s="350">
        <f ca="1">SUM(E251:OFFSET(E251,ASS_COUNT_4-1,0))</f>
        <v>0</v>
      </c>
      <c r="F256" s="350">
        <f ca="1">SUM(F251:OFFSET(F251,ASS_COUNT_4-1,0))</f>
        <v>0</v>
      </c>
      <c r="G256" s="350">
        <f ca="1">SUM(G251:OFFSET(G251,ASS_COUNT_4-1,0))</f>
        <v>0</v>
      </c>
      <c r="H256" s="350">
        <f ca="1">SUM(H251:OFFSET(H251,ASS_COUNT_4-1,0))</f>
        <v>0</v>
      </c>
      <c r="I256" s="350">
        <f ca="1">SUM(I251:OFFSET(I251,ASS_COUNT_4-1,0))</f>
        <v>0</v>
      </c>
      <c r="J256" s="350">
        <f ca="1">SUM(J251:OFFSET(J251,ASS_COUNT_4-1,0))</f>
        <v>0</v>
      </c>
      <c r="K256" s="350">
        <f ca="1">SUM(K251:OFFSET(K251,ASS_COUNT_4-1,0))</f>
        <v>0</v>
      </c>
      <c r="L256" s="350">
        <f ca="1">SUM(L251:OFFSET(L251,ASS_COUNT_4-1,0))</f>
        <v>0</v>
      </c>
      <c r="M256" s="350">
        <f ca="1">SUM(M251:OFFSET(M251,ASS_COUNT_4-1,0))</f>
        <v>0</v>
      </c>
      <c r="N256" s="350">
        <f ca="1">SUM(N251:OFFSET(N251,ASS_COUNT_4-1,0))</f>
        <v>0</v>
      </c>
      <c r="O256" s="350">
        <f ca="1">SUM(O251:OFFSET(O251,ASS_COUNT_4-1,0))</f>
        <v>0</v>
      </c>
      <c r="P256" s="350">
        <f ca="1">SUM(P251:OFFSET(P251,ASS_COUNT_4-1,0))</f>
        <v>0</v>
      </c>
      <c r="Q256" s="350">
        <f ca="1">SUM(Q251:OFFSET(Q251,ASS_COUNT_4-1,0))</f>
        <v>0</v>
      </c>
    </row>
    <row r="257" spans="1:5" s="298" customFormat="1" ht="10.5">
      <c r="A257" s="298" t="s">
        <v>231</v>
      </c>
      <c r="D257" s="299"/>
      <c r="E257" s="298" t="s">
        <v>115</v>
      </c>
    </row>
    <row r="258" spans="1:17" ht="10.5">
      <c r="A258" s="228"/>
      <c r="B258" s="228"/>
      <c r="C258" s="228"/>
      <c r="D258" s="297"/>
      <c r="E258" s="351">
        <f aca="true" t="shared" si="51" ref="E258:J261">IF($D102&gt;COLUMN()-4,E102,0)</f>
        <v>0</v>
      </c>
      <c r="F258" s="351">
        <f t="shared" si="51"/>
        <v>0</v>
      </c>
      <c r="G258" s="351">
        <f t="shared" si="51"/>
        <v>0</v>
      </c>
      <c r="H258" s="351">
        <f t="shared" si="51"/>
        <v>0</v>
      </c>
      <c r="I258" s="351">
        <f t="shared" si="51"/>
        <v>0</v>
      </c>
      <c r="J258" s="351">
        <f t="shared" si="51"/>
        <v>0</v>
      </c>
      <c r="K258" s="351">
        <f aca="true" t="shared" si="52" ref="K258:Q258">IF($D102&gt;COLUMN()-4,K102,0)</f>
        <v>0</v>
      </c>
      <c r="L258" s="351">
        <f t="shared" si="52"/>
        <v>0</v>
      </c>
      <c r="M258" s="351">
        <f t="shared" si="52"/>
        <v>0</v>
      </c>
      <c r="N258" s="351">
        <f t="shared" si="52"/>
        <v>0</v>
      </c>
      <c r="O258" s="351">
        <f t="shared" si="52"/>
        <v>0</v>
      </c>
      <c r="P258" s="351">
        <f t="shared" si="52"/>
        <v>0</v>
      </c>
      <c r="Q258" s="351">
        <f t="shared" si="52"/>
        <v>0</v>
      </c>
    </row>
    <row r="259" spans="1:17" ht="10.5">
      <c r="A259" s="228"/>
      <c r="B259" s="228"/>
      <c r="C259" s="228"/>
      <c r="D259" s="297"/>
      <c r="E259" s="351">
        <f t="shared" si="51"/>
        <v>0</v>
      </c>
      <c r="F259" s="351">
        <f t="shared" si="51"/>
        <v>0</v>
      </c>
      <c r="G259" s="351">
        <f t="shared" si="51"/>
        <v>0</v>
      </c>
      <c r="H259" s="351">
        <f t="shared" si="51"/>
        <v>0</v>
      </c>
      <c r="I259" s="351">
        <f t="shared" si="51"/>
        <v>0</v>
      </c>
      <c r="J259" s="351">
        <f t="shared" si="51"/>
        <v>0</v>
      </c>
      <c r="K259" s="351">
        <f aca="true" t="shared" si="53" ref="K259:Q261">IF($D103&gt;COLUMN()-4,K103,0)</f>
        <v>0</v>
      </c>
      <c r="L259" s="351">
        <f t="shared" si="53"/>
        <v>0</v>
      </c>
      <c r="M259" s="351">
        <f t="shared" si="53"/>
        <v>0</v>
      </c>
      <c r="N259" s="351">
        <f t="shared" si="53"/>
        <v>0</v>
      </c>
      <c r="O259" s="351">
        <f t="shared" si="53"/>
        <v>0</v>
      </c>
      <c r="P259" s="351">
        <f t="shared" si="53"/>
        <v>0</v>
      </c>
      <c r="Q259" s="351">
        <f t="shared" si="53"/>
        <v>0</v>
      </c>
    </row>
    <row r="260" spans="1:17" ht="10.5">
      <c r="A260" s="228"/>
      <c r="B260" s="228"/>
      <c r="C260" s="228"/>
      <c r="D260" s="297"/>
      <c r="E260" s="351">
        <f t="shared" si="51"/>
        <v>0</v>
      </c>
      <c r="F260" s="351">
        <f t="shared" si="51"/>
        <v>0</v>
      </c>
      <c r="G260" s="351">
        <f t="shared" si="51"/>
        <v>0</v>
      </c>
      <c r="H260" s="351">
        <f t="shared" si="51"/>
        <v>0</v>
      </c>
      <c r="I260" s="351">
        <f t="shared" si="51"/>
        <v>0</v>
      </c>
      <c r="J260" s="351">
        <f t="shared" si="51"/>
        <v>0</v>
      </c>
      <c r="K260" s="351">
        <f t="shared" si="53"/>
        <v>0</v>
      </c>
      <c r="L260" s="351">
        <f t="shared" si="53"/>
        <v>0</v>
      </c>
      <c r="M260" s="351">
        <f t="shared" si="53"/>
        <v>0</v>
      </c>
      <c r="N260" s="351">
        <f t="shared" si="53"/>
        <v>0</v>
      </c>
      <c r="O260" s="351">
        <f t="shared" si="53"/>
        <v>0</v>
      </c>
      <c r="P260" s="351">
        <f t="shared" si="53"/>
        <v>0</v>
      </c>
      <c r="Q260" s="351">
        <f t="shared" si="53"/>
        <v>0</v>
      </c>
    </row>
    <row r="261" spans="1:17" ht="10.5">
      <c r="A261" s="228"/>
      <c r="B261" s="228"/>
      <c r="C261" s="228"/>
      <c r="D261" s="297"/>
      <c r="E261" s="351">
        <f t="shared" si="51"/>
        <v>0</v>
      </c>
      <c r="F261" s="351">
        <f t="shared" si="51"/>
        <v>0</v>
      </c>
      <c r="G261" s="351">
        <f t="shared" si="51"/>
        <v>0</v>
      </c>
      <c r="H261" s="351">
        <f t="shared" si="51"/>
        <v>0</v>
      </c>
      <c r="I261" s="351">
        <f t="shared" si="51"/>
        <v>0</v>
      </c>
      <c r="J261" s="351">
        <f t="shared" si="51"/>
        <v>0</v>
      </c>
      <c r="K261" s="351">
        <f t="shared" si="53"/>
        <v>0</v>
      </c>
      <c r="L261" s="351">
        <f t="shared" si="53"/>
        <v>0</v>
      </c>
      <c r="M261" s="351">
        <f t="shared" si="53"/>
        <v>0</v>
      </c>
      <c r="N261" s="351">
        <f t="shared" si="53"/>
        <v>0</v>
      </c>
      <c r="O261" s="351">
        <f t="shared" si="53"/>
        <v>0</v>
      </c>
      <c r="P261" s="351">
        <f t="shared" si="53"/>
        <v>0</v>
      </c>
      <c r="Q261" s="351">
        <f t="shared" si="53"/>
        <v>0</v>
      </c>
    </row>
    <row r="262" spans="4:17" s="306" customFormat="1" ht="10.5">
      <c r="D262" s="307" t="s">
        <v>180</v>
      </c>
      <c r="E262" s="374">
        <f ca="1">SUM(E258:OFFSET(E258,ASS_COUNT_5-1,0))</f>
        <v>0</v>
      </c>
      <c r="F262" s="374">
        <f ca="1">SUM(F258:OFFSET(F258,ASS_COUNT_5-1,0))</f>
        <v>0</v>
      </c>
      <c r="G262" s="374">
        <f ca="1">SUM(G258:OFFSET(G258,ASS_COUNT_5-1,0))</f>
        <v>0</v>
      </c>
      <c r="H262" s="374">
        <f ca="1">SUM(H258:OFFSET(H258,ASS_COUNT_5-1,0))</f>
        <v>0</v>
      </c>
      <c r="I262" s="374">
        <f ca="1">SUM(I258:OFFSET(I258,ASS_COUNT_5-1,0))</f>
        <v>0</v>
      </c>
      <c r="J262" s="374">
        <f ca="1">SUM(J258:OFFSET(J258,ASS_COUNT_5-1,0))</f>
        <v>0</v>
      </c>
      <c r="K262" s="374">
        <f ca="1">SUM(K258:OFFSET(K258,ASS_COUNT_5-1,0))</f>
        <v>0</v>
      </c>
      <c r="L262" s="374">
        <f ca="1">SUM(L258:OFFSET(L258,ASS_COUNT_5-1,0))</f>
        <v>0</v>
      </c>
      <c r="M262" s="374">
        <f ca="1">SUM(M258:OFFSET(M258,ASS_COUNT_5-1,0))</f>
        <v>0</v>
      </c>
      <c r="N262" s="374">
        <f ca="1">SUM(N258:OFFSET(N258,ASS_COUNT_5-1,0))</f>
        <v>0</v>
      </c>
      <c r="O262" s="374">
        <f ca="1">SUM(O258:OFFSET(O258,ASS_COUNT_5-1,0))</f>
        <v>0</v>
      </c>
      <c r="P262" s="374">
        <f ca="1">SUM(P258:OFFSET(P258,ASS_COUNT_5-1,0))</f>
        <v>0</v>
      </c>
      <c r="Q262" s="374">
        <f ca="1">SUM(Q258:OFFSET(Q258,ASS_COUNT_5-1,0))</f>
        <v>0</v>
      </c>
    </row>
    <row r="263" s="347" customFormat="1" ht="10.5">
      <c r="D263" s="348"/>
    </row>
    <row r="264" spans="1:2" ht="10.5">
      <c r="A264" s="343" t="s">
        <v>95</v>
      </c>
      <c r="B264" s="343" t="s">
        <v>98</v>
      </c>
    </row>
    <row r="265" spans="1:5" s="298" customFormat="1" ht="10.5">
      <c r="A265" s="298" t="s">
        <v>177</v>
      </c>
      <c r="D265" s="299"/>
      <c r="E265" s="298" t="s">
        <v>186</v>
      </c>
    </row>
    <row r="266" spans="1:17" ht="10.5">
      <c r="A266" s="51">
        <v>-1</v>
      </c>
      <c r="B266" s="51">
        <v>-1</v>
      </c>
      <c r="C266" s="228">
        <v>-1</v>
      </c>
      <c r="D266" s="297">
        <v>-1</v>
      </c>
      <c r="E266" s="51">
        <f>Данные!C155/IF($A266&lt;0,(1+VAT),(1+$A266))</f>
        <v>0</v>
      </c>
      <c r="F266" s="51">
        <f>IF(Данные!$D155="…",Данные!$C155,Данные!D155)/IF($A266&lt;0,(1+VAT),(1+$A266))</f>
        <v>75000</v>
      </c>
      <c r="G266" s="51">
        <f>IF(Данные!$D155="…",Данные!$C155,Данные!E155)/IF($A266&lt;0,(1+VAT),(1+$A266))</f>
        <v>75000</v>
      </c>
      <c r="H266" s="51">
        <f>IF(Данные!$D155="…",Данные!$C155,Данные!F155)/IF($A266&lt;0,(1+VAT),(1+$A266))</f>
        <v>75000</v>
      </c>
      <c r="I266" s="51">
        <f>IF(Данные!$D155="…",Данные!$C155,Данные!G155)/IF($A266&lt;0,(1+VAT),(1+$A266))</f>
        <v>75000</v>
      </c>
      <c r="J266" s="51">
        <f>IF(Данные!$D155="…",Данные!$C155,Данные!H155)/IF($A266&lt;0,(1+VAT),(1+$A266))</f>
        <v>75000</v>
      </c>
      <c r="K266" s="51">
        <f>IF(Данные!$D155="…",Данные!$C155,Данные!I155)/IF($A266&lt;0,(1+VAT),(1+$A266))</f>
        <v>75000</v>
      </c>
      <c r="L266" s="51">
        <f>IF(Данные!$D155="…",Данные!$C155,Данные!J155)/IF($A266&lt;0,(1+VAT),(1+$A266))</f>
        <v>75000</v>
      </c>
      <c r="M266" s="51">
        <f>IF(Данные!$D155="…",Данные!$C155,Данные!K155)/IF($A266&lt;0,(1+VAT),(1+$A266))</f>
        <v>75000</v>
      </c>
      <c r="N266" s="51">
        <f>IF(Данные!$D155="…",Данные!$C155,Данные!L155)/IF($A266&lt;0,(1+VAT),(1+$A266))</f>
        <v>75000</v>
      </c>
      <c r="O266" s="51">
        <f>IF(Данные!$D155="…",Данные!$C155,Данные!M155)/IF($A266&lt;0,(1+VAT),(1+$A266))</f>
        <v>75000</v>
      </c>
      <c r="P266" s="51">
        <f>IF(Данные!$D155="…",Данные!$C155,Данные!N155)/IF($A266&lt;0,(1+VAT),(1+$A266))</f>
        <v>75000</v>
      </c>
      <c r="Q266" s="51">
        <f>IF(Данные!$D155="…",Данные!$C155,Данные!O155)/IF($A266&lt;0,(1+VAT),(1+$A266))</f>
        <v>75000</v>
      </c>
    </row>
    <row r="267" spans="1:17" ht="10.5">
      <c r="A267" s="51">
        <v>-1</v>
      </c>
      <c r="B267" s="51">
        <v>-1</v>
      </c>
      <c r="C267" s="228">
        <v>-1</v>
      </c>
      <c r="D267" s="297">
        <v>-1</v>
      </c>
      <c r="E267" s="51">
        <f>Данные!C156/IF($A267&lt;0,(1+VAT),(1+$A267))</f>
        <v>15000</v>
      </c>
      <c r="F267" s="51">
        <f>IF(Данные!$D156="…",Данные!$C156,Данные!D156)/IF($A267&lt;0,(1+VAT),(1+$A267))</f>
        <v>0</v>
      </c>
      <c r="G267" s="51">
        <f>IF(Данные!$D156="…",Данные!$C156,Данные!E156)/IF($A267&lt;0,(1+VAT),(1+$A267))</f>
        <v>0</v>
      </c>
      <c r="H267" s="51">
        <f>IF(Данные!$D156="…",Данные!$C156,Данные!F156)/IF($A267&lt;0,(1+VAT),(1+$A267))</f>
        <v>0</v>
      </c>
      <c r="I267" s="51">
        <f>IF(Данные!$D156="…",Данные!$C156,Данные!G156)/IF($A267&lt;0,(1+VAT),(1+$A267))</f>
        <v>0</v>
      </c>
      <c r="J267" s="51">
        <f>IF(Данные!$D156="…",Данные!$C156,Данные!H156)/IF($A267&lt;0,(1+VAT),(1+$A267))</f>
        <v>0</v>
      </c>
      <c r="K267" s="51">
        <f>IF(Данные!$D156="…",Данные!$C156,Данные!I156)/IF($A267&lt;0,(1+VAT),(1+$A267))</f>
        <v>0</v>
      </c>
      <c r="L267" s="51">
        <f>IF(Данные!$D156="…",Данные!$C156,Данные!J156)/IF($A267&lt;0,(1+VAT),(1+$A267))</f>
        <v>0</v>
      </c>
      <c r="M267" s="51">
        <f>IF(Данные!$D156="…",Данные!$C156,Данные!K156)/IF($A267&lt;0,(1+VAT),(1+$A267))</f>
        <v>0</v>
      </c>
      <c r="N267" s="51">
        <f>IF(Данные!$D156="…",Данные!$C156,Данные!L156)/IF($A267&lt;0,(1+VAT),(1+$A267))</f>
        <v>0</v>
      </c>
      <c r="O267" s="51">
        <f>IF(Данные!$D156="…",Данные!$C156,Данные!M156)/IF($A267&lt;0,(1+VAT),(1+$A267))</f>
        <v>0</v>
      </c>
      <c r="P267" s="51">
        <f>IF(Данные!$D156="…",Данные!$C156,Данные!N156)/IF($A267&lt;0,(1+VAT),(1+$A267))</f>
        <v>0</v>
      </c>
      <c r="Q267" s="51">
        <f>IF(Данные!$D156="…",Данные!$C156,Данные!O156)/IF($A267&lt;0,(1+VAT),(1+$A267))</f>
        <v>0</v>
      </c>
    </row>
    <row r="268" spans="1:17" ht="10.5">
      <c r="A268" s="51">
        <v>-1</v>
      </c>
      <c r="B268" s="51">
        <v>-1</v>
      </c>
      <c r="C268" s="228">
        <v>-1</v>
      </c>
      <c r="D268" s="297">
        <v>-1</v>
      </c>
      <c r="E268" s="51">
        <f>Данные!C157/IF($A268&lt;0,(1+VAT),(1+$A268))</f>
        <v>0</v>
      </c>
      <c r="F268" s="51">
        <f>IF(Данные!$D157="…",Данные!$C157,Данные!D157)/IF($A268&lt;0,(1+VAT),(1+$A268))</f>
        <v>300000</v>
      </c>
      <c r="G268" s="51">
        <f>IF(Данные!$D157="…",Данные!$C157,Данные!E157)/IF($A268&lt;0,(1+VAT),(1+$A268))</f>
        <v>0</v>
      </c>
      <c r="H268" s="51">
        <f>IF(Данные!$D157="…",Данные!$C157,Данные!F157)/IF($A268&lt;0,(1+VAT),(1+$A268))</f>
        <v>0</v>
      </c>
      <c r="I268" s="51">
        <f>IF(Данные!$D157="…",Данные!$C157,Данные!G157)/IF($A268&lt;0,(1+VAT),(1+$A268))</f>
        <v>0</v>
      </c>
      <c r="J268" s="51">
        <f>IF(Данные!$D157="…",Данные!$C157,Данные!H157)/IF($A268&lt;0,(1+VAT),(1+$A268))</f>
        <v>0</v>
      </c>
      <c r="K268" s="51">
        <f>IF(Данные!$D157="…",Данные!$C157,Данные!I157)/IF($A268&lt;0,(1+VAT),(1+$A268))</f>
        <v>0</v>
      </c>
      <c r="L268" s="51">
        <f>IF(Данные!$D157="…",Данные!$C157,Данные!J157)/IF($A268&lt;0,(1+VAT),(1+$A268))</f>
        <v>0</v>
      </c>
      <c r="M268" s="51">
        <f>IF(Данные!$D157="…",Данные!$C157,Данные!K157)/IF($A268&lt;0,(1+VAT),(1+$A268))</f>
        <v>0</v>
      </c>
      <c r="N268" s="51">
        <f>IF(Данные!$D157="…",Данные!$C157,Данные!L157)/IF($A268&lt;0,(1+VAT),(1+$A268))</f>
        <v>0</v>
      </c>
      <c r="O268" s="51">
        <f>IF(Данные!$D157="…",Данные!$C157,Данные!M157)/IF($A268&lt;0,(1+VAT),(1+$A268))</f>
        <v>0</v>
      </c>
      <c r="P268" s="51">
        <f>IF(Данные!$D157="…",Данные!$C157,Данные!N157)/IF($A268&lt;0,(1+VAT),(1+$A268))</f>
        <v>0</v>
      </c>
      <c r="Q268" s="51">
        <f>IF(Данные!$D157="…",Данные!$C157,Данные!O157)/IF($A268&lt;0,(1+VAT),(1+$A268))</f>
        <v>0</v>
      </c>
    </row>
    <row r="269" spans="1:17" ht="10.5">
      <c r="A269" s="51">
        <v>-1</v>
      </c>
      <c r="B269" s="51">
        <v>-1</v>
      </c>
      <c r="C269" s="228">
        <v>-1</v>
      </c>
      <c r="D269" s="297">
        <v>-1</v>
      </c>
      <c r="E269" s="51">
        <f>Данные!C158/IF($A269&lt;0,(1+VAT),(1+$A269))</f>
        <v>3000</v>
      </c>
      <c r="F269" s="51">
        <f>IF(Данные!$D158="…",Данные!$C158,Данные!D158)/IF($A269&lt;0,(1+VAT),(1+$A269))</f>
        <v>10000</v>
      </c>
      <c r="G269" s="51">
        <f>IF(Данные!$D158="…",Данные!$C158,Данные!E158)/IF($A269&lt;0,(1+VAT),(1+$A269))</f>
        <v>10000</v>
      </c>
      <c r="H269" s="51">
        <f>IF(Данные!$D158="…",Данные!$C158,Данные!F158)/IF($A269&lt;0,(1+VAT),(1+$A269))</f>
        <v>10000</v>
      </c>
      <c r="I269" s="51">
        <f>IF(Данные!$D158="…",Данные!$C158,Данные!G158)/IF($A269&lt;0,(1+VAT),(1+$A269))</f>
        <v>10000</v>
      </c>
      <c r="J269" s="51">
        <f>IF(Данные!$D158="…",Данные!$C158,Данные!H158)/IF($A269&lt;0,(1+VAT),(1+$A269))</f>
        <v>10000</v>
      </c>
      <c r="K269" s="51">
        <f>IF(Данные!$D158="…",Данные!$C158,Данные!I158)/IF($A269&lt;0,(1+VAT),(1+$A269))</f>
        <v>10000</v>
      </c>
      <c r="L269" s="51">
        <f>IF(Данные!$D158="…",Данные!$C158,Данные!J158)/IF($A269&lt;0,(1+VAT),(1+$A269))</f>
        <v>10000</v>
      </c>
      <c r="M269" s="51">
        <f>IF(Данные!$D158="…",Данные!$C158,Данные!K158)/IF($A269&lt;0,(1+VAT),(1+$A269))</f>
        <v>10000</v>
      </c>
      <c r="N269" s="51">
        <f>IF(Данные!$D158="…",Данные!$C158,Данные!L158)/IF($A269&lt;0,(1+VAT),(1+$A269))</f>
        <v>10000</v>
      </c>
      <c r="O269" s="51">
        <f>IF(Данные!$D158="…",Данные!$C158,Данные!M158)/IF($A269&lt;0,(1+VAT),(1+$A269))</f>
        <v>10000</v>
      </c>
      <c r="P269" s="51">
        <f>IF(Данные!$D158="…",Данные!$C158,Данные!N158)/IF($A269&lt;0,(1+VAT),(1+$A269))</f>
        <v>10000</v>
      </c>
      <c r="Q269" s="51">
        <f>IF(Данные!$D158="…",Данные!$C158,Данные!O158)/IF($A269&lt;0,(1+VAT),(1+$A269))</f>
        <v>10000</v>
      </c>
    </row>
    <row r="270" spans="1:17" ht="10.5">
      <c r="A270" s="51">
        <v>-1</v>
      </c>
      <c r="B270" s="51">
        <v>-1</v>
      </c>
      <c r="C270" s="228">
        <v>-1</v>
      </c>
      <c r="D270" s="297">
        <v>-1</v>
      </c>
      <c r="E270" s="51">
        <f>Данные!C159/IF($A270&lt;0,(1+VAT),(1+$A270))</f>
        <v>0</v>
      </c>
      <c r="F270" s="51">
        <f>IF(Данные!$D159="…",Данные!$C159,Данные!D159)/IF($A270&lt;0,(1+VAT),(1+$A270))</f>
        <v>0</v>
      </c>
      <c r="G270" s="51">
        <f>IF(Данные!$D159="…",Данные!$C159,Данные!E159)/IF($A270&lt;0,(1+VAT),(1+$A270))</f>
        <v>180000</v>
      </c>
      <c r="H270" s="51">
        <f>IF(Данные!$D159="…",Данные!$C159,Данные!F159)/IF($A270&lt;0,(1+VAT),(1+$A270))</f>
        <v>180000</v>
      </c>
      <c r="I270" s="51">
        <f>IF(Данные!$D159="…",Данные!$C159,Данные!G159)/IF($A270&lt;0,(1+VAT),(1+$A270))</f>
        <v>180000</v>
      </c>
      <c r="J270" s="51">
        <f>IF(Данные!$D159="…",Данные!$C159,Данные!H159)/IF($A270&lt;0,(1+VAT),(1+$A270))</f>
        <v>180000</v>
      </c>
      <c r="K270" s="51">
        <f>IF(Данные!$D159="…",Данные!$C159,Данные!I159)/IF($A270&lt;0,(1+VAT),(1+$A270))</f>
        <v>180000</v>
      </c>
      <c r="L270" s="51">
        <f>IF(Данные!$D159="…",Данные!$C159,Данные!J159)/IF($A270&lt;0,(1+VAT),(1+$A270))</f>
        <v>180000</v>
      </c>
      <c r="M270" s="51">
        <f>IF(Данные!$D159="…",Данные!$C159,Данные!K159)/IF($A270&lt;0,(1+VAT),(1+$A270))</f>
        <v>180000</v>
      </c>
      <c r="N270" s="51">
        <f>IF(Данные!$D159="…",Данные!$C159,Данные!L159)/IF($A270&lt;0,(1+VAT),(1+$A270))</f>
        <v>180000</v>
      </c>
      <c r="O270" s="51">
        <f>IF(Данные!$D159="…",Данные!$C159,Данные!M159)/IF($A270&lt;0,(1+VAT),(1+$A270))</f>
        <v>180000</v>
      </c>
      <c r="P270" s="51">
        <f>IF(Данные!$D159="…",Данные!$C159,Данные!N159)/IF($A270&lt;0,(1+VAT),(1+$A270))</f>
        <v>180000</v>
      </c>
      <c r="Q270" s="51">
        <f>IF(Данные!$D159="…",Данные!$C159,Данные!O159)/IF($A270&lt;0,(1+VAT),(1+$A270))</f>
        <v>180000</v>
      </c>
    </row>
    <row r="271" spans="1:17" ht="10.5">
      <c r="A271" s="51">
        <v>-1</v>
      </c>
      <c r="B271" s="51">
        <v>-1</v>
      </c>
      <c r="C271" s="228">
        <v>-1</v>
      </c>
      <c r="D271" s="297">
        <v>-1</v>
      </c>
      <c r="E271" s="51">
        <f>Данные!C160/IF($A271&lt;0,(1+VAT),(1+$A271))</f>
        <v>0</v>
      </c>
      <c r="F271" s="51">
        <f>IF(Данные!$D160="…",Данные!$C160,Данные!D160)/IF($A271&lt;0,(1+VAT),(1+$A271))</f>
        <v>10000</v>
      </c>
      <c r="G271" s="51">
        <f>IF(Данные!$D160="…",Данные!$C160,Данные!E160)/IF($A271&lt;0,(1+VAT),(1+$A271))</f>
        <v>10000</v>
      </c>
      <c r="H271" s="51">
        <f>IF(Данные!$D160="…",Данные!$C160,Данные!F160)/IF($A271&lt;0,(1+VAT),(1+$A271))</f>
        <v>10000</v>
      </c>
      <c r="I271" s="51">
        <f>IF(Данные!$D160="…",Данные!$C160,Данные!G160)/IF($A271&lt;0,(1+VAT),(1+$A271))</f>
        <v>10000</v>
      </c>
      <c r="J271" s="51">
        <f>IF(Данные!$D160="…",Данные!$C160,Данные!H160)/IF($A271&lt;0,(1+VAT),(1+$A271))</f>
        <v>10000</v>
      </c>
      <c r="K271" s="51">
        <f>IF(Данные!$D160="…",Данные!$C160,Данные!I160)/IF($A271&lt;0,(1+VAT),(1+$A271))</f>
        <v>10000</v>
      </c>
      <c r="L271" s="51">
        <f>IF(Данные!$D160="…",Данные!$C160,Данные!J160)/IF($A271&lt;0,(1+VAT),(1+$A271))</f>
        <v>10000</v>
      </c>
      <c r="M271" s="51">
        <f>IF(Данные!$D160="…",Данные!$C160,Данные!K160)/IF($A271&lt;0,(1+VAT),(1+$A271))</f>
        <v>10000</v>
      </c>
      <c r="N271" s="51">
        <f>IF(Данные!$D160="…",Данные!$C160,Данные!L160)/IF($A271&lt;0,(1+VAT),(1+$A271))</f>
        <v>10000</v>
      </c>
      <c r="O271" s="51">
        <f>IF(Данные!$D160="…",Данные!$C160,Данные!M160)/IF($A271&lt;0,(1+VAT),(1+$A271))</f>
        <v>10000</v>
      </c>
      <c r="P271" s="51">
        <f>IF(Данные!$D160="…",Данные!$C160,Данные!N160)/IF($A271&lt;0,(1+VAT),(1+$A271))</f>
        <v>10000</v>
      </c>
      <c r="Q271" s="51">
        <f>IF(Данные!$D160="…",Данные!$C160,Данные!O160)/IF($A271&lt;0,(1+VAT),(1+$A271))</f>
        <v>10000</v>
      </c>
    </row>
    <row r="272" spans="1:17" ht="10.5">
      <c r="A272" s="51">
        <v>-1</v>
      </c>
      <c r="B272" s="51">
        <v>-1</v>
      </c>
      <c r="C272" s="228">
        <v>-1</v>
      </c>
      <c r="D272" s="297">
        <v>-1</v>
      </c>
      <c r="E272" s="51">
        <f>Данные!C161/IF($A272&lt;0,(1+VAT),(1+$A272))</f>
        <v>0</v>
      </c>
      <c r="F272" s="51">
        <f>IF(Данные!$D161="…",Данные!$C161,Данные!D161)/IF($A272&lt;0,(1+VAT),(1+$A272))</f>
        <v>100000</v>
      </c>
      <c r="G272" s="51">
        <f>IF(Данные!$D161="…",Данные!$C161,Данные!E161)/IF($A272&lt;0,(1+VAT),(1+$A272))</f>
        <v>50000</v>
      </c>
      <c r="H272" s="51">
        <f>IF(Данные!$D161="…",Данные!$C161,Данные!F161)/IF($A272&lt;0,(1+VAT),(1+$A272))</f>
        <v>0</v>
      </c>
      <c r="I272" s="51">
        <f>IF(Данные!$D161="…",Данные!$C161,Данные!G161)/IF($A272&lt;0,(1+VAT),(1+$A272))</f>
        <v>0</v>
      </c>
      <c r="J272" s="51">
        <f>IF(Данные!$D161="…",Данные!$C161,Данные!H161)/IF($A272&lt;0,(1+VAT),(1+$A272))</f>
        <v>0</v>
      </c>
      <c r="K272" s="51">
        <f>IF(Данные!$D161="…",Данные!$C161,Данные!I161)/IF($A272&lt;0,(1+VAT),(1+$A272))</f>
        <v>0</v>
      </c>
      <c r="L272" s="51">
        <f>IF(Данные!$D161="…",Данные!$C161,Данные!J161)/IF($A272&lt;0,(1+VAT),(1+$A272))</f>
        <v>0</v>
      </c>
      <c r="M272" s="51">
        <f>IF(Данные!$D161="…",Данные!$C161,Данные!K161)/IF($A272&lt;0,(1+VAT),(1+$A272))</f>
        <v>0</v>
      </c>
      <c r="N272" s="51">
        <f>IF(Данные!$D161="…",Данные!$C161,Данные!L161)/IF($A272&lt;0,(1+VAT),(1+$A272))</f>
        <v>0</v>
      </c>
      <c r="O272" s="51">
        <f>IF(Данные!$D161="…",Данные!$C161,Данные!M161)/IF($A272&lt;0,(1+VAT),(1+$A272))</f>
        <v>0</v>
      </c>
      <c r="P272" s="51">
        <f>IF(Данные!$D161="…",Данные!$C161,Данные!N161)/IF($A272&lt;0,(1+VAT),(1+$A272))</f>
        <v>0</v>
      </c>
      <c r="Q272" s="51">
        <f>IF(Данные!$D161="…",Данные!$C161,Данные!O161)/IF($A272&lt;0,(1+VAT),(1+$A272))</f>
        <v>0</v>
      </c>
    </row>
    <row r="273" spans="1:17" ht="10.5">
      <c r="A273" s="51">
        <v>-1</v>
      </c>
      <c r="B273" s="51">
        <v>-1</v>
      </c>
      <c r="C273" s="228">
        <v>-1</v>
      </c>
      <c r="D273" s="297">
        <v>-1</v>
      </c>
      <c r="E273" s="51">
        <f>Данные!C162/IF($A273&lt;0,(1+VAT),(1+$A273))</f>
        <v>0</v>
      </c>
      <c r="F273" s="51">
        <f>IF(Данные!$D162="…",Данные!$C162,Данные!D162)/IF($A273&lt;0,(1+VAT),(1+$A273))</f>
        <v>400000</v>
      </c>
      <c r="G273" s="51">
        <f>IF(Данные!$D162="…",Данные!$C162,Данные!E162)/IF($A273&lt;0,(1+VAT),(1+$A273))</f>
        <v>100000</v>
      </c>
      <c r="H273" s="51">
        <f>IF(Данные!$D162="…",Данные!$C162,Данные!F162)/IF($A273&lt;0,(1+VAT),(1+$A273))</f>
        <v>0</v>
      </c>
      <c r="I273" s="51">
        <f>IF(Данные!$D162="…",Данные!$C162,Данные!G162)/IF($A273&lt;0,(1+VAT),(1+$A273))</f>
        <v>0</v>
      </c>
      <c r="J273" s="51">
        <f>IF(Данные!$D162="…",Данные!$C162,Данные!H162)/IF($A273&lt;0,(1+VAT),(1+$A273))</f>
        <v>0</v>
      </c>
      <c r="K273" s="51">
        <f>IF(Данные!$D162="…",Данные!$C162,Данные!I162)/IF($A273&lt;0,(1+VAT),(1+$A273))</f>
        <v>0</v>
      </c>
      <c r="L273" s="51">
        <f>IF(Данные!$D162="…",Данные!$C162,Данные!J162)/IF($A273&lt;0,(1+VAT),(1+$A273))</f>
        <v>0</v>
      </c>
      <c r="M273" s="51">
        <f>IF(Данные!$D162="…",Данные!$C162,Данные!K162)/IF($A273&lt;0,(1+VAT),(1+$A273))</f>
        <v>0</v>
      </c>
      <c r="N273" s="51">
        <f>IF(Данные!$D162="…",Данные!$C162,Данные!L162)/IF($A273&lt;0,(1+VAT),(1+$A273))</f>
        <v>0</v>
      </c>
      <c r="O273" s="51">
        <f>IF(Данные!$D162="…",Данные!$C162,Данные!M162)/IF($A273&lt;0,(1+VAT),(1+$A273))</f>
        <v>0</v>
      </c>
      <c r="P273" s="51">
        <f>IF(Данные!$D162="…",Данные!$C162,Данные!N162)/IF($A273&lt;0,(1+VAT),(1+$A273))</f>
        <v>0</v>
      </c>
      <c r="Q273" s="51">
        <f>IF(Данные!$D162="…",Данные!$C162,Данные!O162)/IF($A273&lt;0,(1+VAT),(1+$A273))</f>
        <v>0</v>
      </c>
    </row>
    <row r="274" spans="1:17" ht="10.5">
      <c r="A274" s="51">
        <v>-1</v>
      </c>
      <c r="B274" s="51">
        <v>-1</v>
      </c>
      <c r="C274" s="228">
        <v>-1</v>
      </c>
      <c r="D274" s="297">
        <v>-1</v>
      </c>
      <c r="E274" s="51">
        <f>Данные!C163/IF($A274&lt;0,(1+VAT),(1+$A274))</f>
        <v>0</v>
      </c>
      <c r="F274" s="51">
        <f>IF(Данные!$D163="…",Данные!$C163,Данные!D163)/IF($A274&lt;0,(1+VAT),(1+$A274))</f>
        <v>150000</v>
      </c>
      <c r="G274" s="51">
        <f>IF(Данные!$D163="…",Данные!$C163,Данные!E163)/IF($A274&lt;0,(1+VAT),(1+$A274))</f>
        <v>0</v>
      </c>
      <c r="H274" s="51">
        <f>IF(Данные!$D163="…",Данные!$C163,Данные!F163)/IF($A274&lt;0,(1+VAT),(1+$A274))</f>
        <v>50000</v>
      </c>
      <c r="I274" s="51">
        <f>IF(Данные!$D163="…",Данные!$C163,Данные!G163)/IF($A274&lt;0,(1+VAT),(1+$A274))</f>
        <v>0</v>
      </c>
      <c r="J274" s="51">
        <f>IF(Данные!$D163="…",Данные!$C163,Данные!H163)/IF($A274&lt;0,(1+VAT),(1+$A274))</f>
        <v>0</v>
      </c>
      <c r="K274" s="51">
        <f>IF(Данные!$D163="…",Данные!$C163,Данные!I163)/IF($A274&lt;0,(1+VAT),(1+$A274))</f>
        <v>0</v>
      </c>
      <c r="L274" s="51">
        <f>IF(Данные!$D163="…",Данные!$C163,Данные!J163)/IF($A274&lt;0,(1+VAT),(1+$A274))</f>
        <v>0</v>
      </c>
      <c r="M274" s="51">
        <f>IF(Данные!$D163="…",Данные!$C163,Данные!K163)/IF($A274&lt;0,(1+VAT),(1+$A274))</f>
        <v>0</v>
      </c>
      <c r="N274" s="51">
        <f>IF(Данные!$D163="…",Данные!$C163,Данные!L163)/IF($A274&lt;0,(1+VAT),(1+$A274))</f>
        <v>0</v>
      </c>
      <c r="O274" s="51">
        <f>IF(Данные!$D163="…",Данные!$C163,Данные!M163)/IF($A274&lt;0,(1+VAT),(1+$A274))</f>
        <v>0</v>
      </c>
      <c r="P274" s="51">
        <f>IF(Данные!$D163="…",Данные!$C163,Данные!N163)/IF($A274&lt;0,(1+VAT),(1+$A274))</f>
        <v>0</v>
      </c>
      <c r="Q274" s="51">
        <f>IF(Данные!$D163="…",Данные!$C163,Данные!O163)/IF($A274&lt;0,(1+VAT),(1+$A274))</f>
        <v>0</v>
      </c>
    </row>
    <row r="275" spans="4:17" s="228" customFormat="1" ht="10.5">
      <c r="D275" s="297" t="s">
        <v>180</v>
      </c>
      <c r="E275" s="228">
        <f ca="1">IF(GE_COUNT_1&gt;0,SUM(E266:OFFSET(E266,GE_COUNT_1-1,0)),0)</f>
        <v>18000</v>
      </c>
      <c r="F275" s="228">
        <f ca="1">IF(GE_COUNT_1&gt;0,SUM(F266:OFFSET(F266,GE_COUNT_1-1,0)),0)</f>
        <v>1045000</v>
      </c>
      <c r="G275" s="228">
        <f ca="1">IF(GE_COUNT_1&gt;0,SUM(G266:OFFSET(G266,GE_COUNT_1-1,0)),0)</f>
        <v>425000</v>
      </c>
      <c r="H275" s="228">
        <f ca="1">IF(GE_COUNT_1&gt;0,SUM(H266:OFFSET(H266,GE_COUNT_1-1,0)),0)</f>
        <v>325000</v>
      </c>
      <c r="I275" s="228">
        <f ca="1">IF(GE_COUNT_1&gt;0,SUM(I266:OFFSET(I266,GE_COUNT_1-1,0)),0)</f>
        <v>275000</v>
      </c>
      <c r="J275" s="228">
        <f ca="1">IF(GE_COUNT_1&gt;0,SUM(J266:OFFSET(J266,GE_COUNT_1-1,0)),0)</f>
        <v>275000</v>
      </c>
      <c r="K275" s="228">
        <f ca="1">IF(GE_COUNT_1&gt;0,SUM(K266:OFFSET(K266,GE_COUNT_1-1,0)),0)</f>
        <v>275000</v>
      </c>
      <c r="L275" s="228">
        <f ca="1">IF(GE_COUNT_1&gt;0,SUM(L266:OFFSET(L266,GE_COUNT_1-1,0)),0)</f>
        <v>275000</v>
      </c>
      <c r="M275" s="228">
        <f ca="1">IF(GE_COUNT_1&gt;0,SUM(M266:OFFSET(M266,GE_COUNT_1-1,0)),0)</f>
        <v>275000</v>
      </c>
      <c r="N275" s="228">
        <f ca="1">IF(GE_COUNT_1&gt;0,SUM(N266:OFFSET(N266,GE_COUNT_1-1,0)),0)</f>
        <v>275000</v>
      </c>
      <c r="O275" s="228">
        <f ca="1">IF(GE_COUNT_1&gt;0,SUM(O266:OFFSET(O266,GE_COUNT_1-1,0)),0)</f>
        <v>275000</v>
      </c>
      <c r="P275" s="228">
        <f ca="1">IF(GE_COUNT_1&gt;0,SUM(P266:OFFSET(P266,GE_COUNT_1-1,0)),0)</f>
        <v>275000</v>
      </c>
      <c r="Q275" s="228">
        <f ca="1">IF(GE_COUNT_1&gt;0,SUM(Q266:OFFSET(Q266,GE_COUNT_1-1,0)),0)</f>
        <v>275000</v>
      </c>
    </row>
    <row r="276" spans="1:5" s="298" customFormat="1" ht="10.5">
      <c r="A276" s="298" t="s">
        <v>178</v>
      </c>
      <c r="D276" s="299"/>
      <c r="E276" s="298" t="s">
        <v>186</v>
      </c>
    </row>
    <row r="277" spans="1:17" ht="10.5">
      <c r="A277" s="51">
        <v>-1</v>
      </c>
      <c r="B277" s="51">
        <v>-1</v>
      </c>
      <c r="C277" s="228">
        <v>-1</v>
      </c>
      <c r="D277" s="297">
        <v>-1</v>
      </c>
      <c r="E277" s="51">
        <f>Данные!C166/IF($A277&lt;0,(1+VAT),(1+$A277))</f>
        <v>0</v>
      </c>
      <c r="F277" s="51">
        <f>IF(Данные!$D166="…",Данные!$C166,Данные!D166)/IF($A277&lt;0,(1+VAT),(1+$A277))</f>
        <v>0</v>
      </c>
      <c r="G277" s="51">
        <f>IF(Данные!$D166="…",Данные!$C166,Данные!E166)/IF($A277&lt;0,(1+VAT),(1+$A277))</f>
        <v>10000</v>
      </c>
      <c r="H277" s="51">
        <f>IF(Данные!$D166="…",Данные!$C166,Данные!F166)/IF($A277&lt;0,(1+VAT),(1+$A277))</f>
        <v>10000</v>
      </c>
      <c r="I277" s="51">
        <f>IF(Данные!$D166="…",Данные!$C166,Данные!G166)/IF($A277&lt;0,(1+VAT),(1+$A277))</f>
        <v>10000</v>
      </c>
      <c r="J277" s="51">
        <f>IF(Данные!$D166="…",Данные!$C166,Данные!H166)/IF($A277&lt;0,(1+VAT),(1+$A277))</f>
        <v>10000</v>
      </c>
      <c r="K277" s="51">
        <f>IF(Данные!$D166="…",Данные!$C166,Данные!I166)/IF($A277&lt;0,(1+VAT),(1+$A277))</f>
        <v>10000</v>
      </c>
      <c r="L277" s="51">
        <f>IF(Данные!$D166="…",Данные!$C166,Данные!J166)/IF($A277&lt;0,(1+VAT),(1+$A277))</f>
        <v>10000</v>
      </c>
      <c r="M277" s="51">
        <f>IF(Данные!$D166="…",Данные!$C166,Данные!K166)/IF($A277&lt;0,(1+VAT),(1+$A277))</f>
        <v>10000</v>
      </c>
      <c r="N277" s="51">
        <f>IF(Данные!$D166="…",Данные!$C166,Данные!L166)/IF($A277&lt;0,(1+VAT),(1+$A277))</f>
        <v>10000</v>
      </c>
      <c r="O277" s="51">
        <f>IF(Данные!$D166="…",Данные!$C166,Данные!M166)/IF($A277&lt;0,(1+VAT),(1+$A277))</f>
        <v>10000</v>
      </c>
      <c r="P277" s="51">
        <f>IF(Данные!$D166="…",Данные!$C166,Данные!N166)/IF($A277&lt;0,(1+VAT),(1+$A277))</f>
        <v>10000</v>
      </c>
      <c r="Q277" s="51">
        <f>IF(Данные!$D166="…",Данные!$C166,Данные!O166)/IF($A277&lt;0,(1+VAT),(1+$A277))</f>
        <v>10000</v>
      </c>
    </row>
    <row r="278" spans="1:17" ht="10.5">
      <c r="A278" s="51">
        <v>-1</v>
      </c>
      <c r="B278" s="51">
        <v>-1</v>
      </c>
      <c r="C278" s="228">
        <v>-1</v>
      </c>
      <c r="D278" s="297">
        <v>-1</v>
      </c>
      <c r="E278" s="51">
        <f>Данные!C167/IF($A278&lt;0,(1+VAT),(1+$A278))</f>
        <v>0</v>
      </c>
      <c r="F278" s="51">
        <f>IF(Данные!$D167="…",Данные!$C167,Данные!D167)/IF($A278&lt;0,(1+VAT),(1+$A278))</f>
        <v>0</v>
      </c>
      <c r="G278" s="51">
        <f>IF(Данные!$D167="…",Данные!$C167,Данные!E167)/IF($A278&lt;0,(1+VAT),(1+$A278))</f>
        <v>0</v>
      </c>
      <c r="H278" s="51">
        <f>IF(Данные!$D167="…",Данные!$C167,Данные!F167)/IF($A278&lt;0,(1+VAT),(1+$A278))</f>
        <v>0</v>
      </c>
      <c r="I278" s="51">
        <f>IF(Данные!$D167="…",Данные!$C167,Данные!G167)/IF($A278&lt;0,(1+VAT),(1+$A278))</f>
        <v>0</v>
      </c>
      <c r="J278" s="51">
        <f>IF(Данные!$D167="…",Данные!$C167,Данные!H167)/IF($A278&lt;0,(1+VAT),(1+$A278))</f>
        <v>0</v>
      </c>
      <c r="K278" s="51">
        <f>IF(Данные!$D167="…",Данные!$C167,Данные!I167)/IF($A278&lt;0,(1+VAT),(1+$A278))</f>
        <v>0</v>
      </c>
      <c r="L278" s="51">
        <f>IF(Данные!$D167="…",Данные!$C167,Данные!J167)/IF($A278&lt;0,(1+VAT),(1+$A278))</f>
        <v>0</v>
      </c>
      <c r="M278" s="51">
        <f>IF(Данные!$D167="…",Данные!$C167,Данные!K167)/IF($A278&lt;0,(1+VAT),(1+$A278))</f>
        <v>0</v>
      </c>
      <c r="N278" s="51">
        <f>IF(Данные!$D167="…",Данные!$C167,Данные!L167)/IF($A278&lt;0,(1+VAT),(1+$A278))</f>
        <v>0</v>
      </c>
      <c r="O278" s="51">
        <f>IF(Данные!$D167="…",Данные!$C167,Данные!M167)/IF($A278&lt;0,(1+VAT),(1+$A278))</f>
        <v>0</v>
      </c>
      <c r="P278" s="51">
        <f>IF(Данные!$D167="…",Данные!$C167,Данные!N167)/IF($A278&lt;0,(1+VAT),(1+$A278))</f>
        <v>0</v>
      </c>
      <c r="Q278" s="51">
        <f>IF(Данные!$D167="…",Данные!$C167,Данные!O167)/IF($A278&lt;0,(1+VAT),(1+$A278))</f>
        <v>0</v>
      </c>
    </row>
    <row r="279" spans="1:17" ht="10.5">
      <c r="A279" s="51">
        <v>-1</v>
      </c>
      <c r="B279" s="51">
        <v>-1</v>
      </c>
      <c r="C279" s="228">
        <v>-1</v>
      </c>
      <c r="D279" s="297">
        <v>-1</v>
      </c>
      <c r="E279" s="51">
        <f>Данные!C168/IF($A279&lt;0,(1+VAT),(1+$A279))</f>
        <v>0</v>
      </c>
      <c r="F279" s="51">
        <f>IF(Данные!$D168="…",Данные!$C168,Данные!D168)/IF($A279&lt;0,(1+VAT),(1+$A279))</f>
        <v>0</v>
      </c>
      <c r="G279" s="51">
        <f>IF(Данные!$D168="…",Данные!$C168,Данные!E168)/IF($A279&lt;0,(1+VAT),(1+$A279))</f>
        <v>0</v>
      </c>
      <c r="H279" s="51">
        <f>IF(Данные!$D168="…",Данные!$C168,Данные!F168)/IF($A279&lt;0,(1+VAT),(1+$A279))</f>
        <v>0</v>
      </c>
      <c r="I279" s="51">
        <f>IF(Данные!$D168="…",Данные!$C168,Данные!G168)/IF($A279&lt;0,(1+VAT),(1+$A279))</f>
        <v>0</v>
      </c>
      <c r="J279" s="51">
        <f>IF(Данные!$D168="…",Данные!$C168,Данные!H168)/IF($A279&lt;0,(1+VAT),(1+$A279))</f>
        <v>0</v>
      </c>
      <c r="K279" s="51">
        <f>IF(Данные!$D168="…",Данные!$C168,Данные!I168)/IF($A279&lt;0,(1+VAT),(1+$A279))</f>
        <v>0</v>
      </c>
      <c r="L279" s="51">
        <f>IF(Данные!$D168="…",Данные!$C168,Данные!J168)/IF($A279&lt;0,(1+VAT),(1+$A279))</f>
        <v>0</v>
      </c>
      <c r="M279" s="51">
        <f>IF(Данные!$D168="…",Данные!$C168,Данные!K168)/IF($A279&lt;0,(1+VAT),(1+$A279))</f>
        <v>0</v>
      </c>
      <c r="N279" s="51">
        <f>IF(Данные!$D168="…",Данные!$C168,Данные!L168)/IF($A279&lt;0,(1+VAT),(1+$A279))</f>
        <v>0</v>
      </c>
      <c r="O279" s="51">
        <f>IF(Данные!$D168="…",Данные!$C168,Данные!M168)/IF($A279&lt;0,(1+VAT),(1+$A279))</f>
        <v>0</v>
      </c>
      <c r="P279" s="51">
        <f>IF(Данные!$D168="…",Данные!$C168,Данные!N168)/IF($A279&lt;0,(1+VAT),(1+$A279))</f>
        <v>0</v>
      </c>
      <c r="Q279" s="51">
        <f>IF(Данные!$D168="…",Данные!$C168,Данные!O168)/IF($A279&lt;0,(1+VAT),(1+$A279))</f>
        <v>0</v>
      </c>
    </row>
    <row r="280" spans="1:17" ht="10.5">
      <c r="A280" s="51">
        <v>-1</v>
      </c>
      <c r="B280" s="51">
        <v>-1</v>
      </c>
      <c r="C280" s="228">
        <v>-1</v>
      </c>
      <c r="D280" s="297">
        <v>-1</v>
      </c>
      <c r="E280" s="51">
        <f>Данные!C169/IF($A280&lt;0,(1+VAT),(1+$A280))</f>
        <v>0</v>
      </c>
      <c r="F280" s="51">
        <f>IF(Данные!$D169="…",Данные!$C169,Данные!D169)/IF($A280&lt;0,(1+VAT),(1+$A280))</f>
        <v>0</v>
      </c>
      <c r="G280" s="51">
        <f>IF(Данные!$D169="…",Данные!$C169,Данные!E169)/IF($A280&lt;0,(1+VAT),(1+$A280))</f>
        <v>0</v>
      </c>
      <c r="H280" s="51">
        <f>IF(Данные!$D169="…",Данные!$C169,Данные!F169)/IF($A280&lt;0,(1+VAT),(1+$A280))</f>
        <v>0</v>
      </c>
      <c r="I280" s="51">
        <f>IF(Данные!$D169="…",Данные!$C169,Данные!G169)/IF($A280&lt;0,(1+VAT),(1+$A280))</f>
        <v>0</v>
      </c>
      <c r="J280" s="51">
        <f>IF(Данные!$D169="…",Данные!$C169,Данные!H169)/IF($A280&lt;0,(1+VAT),(1+$A280))</f>
        <v>0</v>
      </c>
      <c r="K280" s="51">
        <f>IF(Данные!$D169="…",Данные!$C169,Данные!I169)/IF($A280&lt;0,(1+VAT),(1+$A280))</f>
        <v>0</v>
      </c>
      <c r="L280" s="51">
        <f>IF(Данные!$D169="…",Данные!$C169,Данные!J169)/IF($A280&lt;0,(1+VAT),(1+$A280))</f>
        <v>0</v>
      </c>
      <c r="M280" s="51">
        <f>IF(Данные!$D169="…",Данные!$C169,Данные!K169)/IF($A280&lt;0,(1+VAT),(1+$A280))</f>
        <v>0</v>
      </c>
      <c r="N280" s="51">
        <f>IF(Данные!$D169="…",Данные!$C169,Данные!L169)/IF($A280&lt;0,(1+VAT),(1+$A280))</f>
        <v>0</v>
      </c>
      <c r="O280" s="51">
        <f>IF(Данные!$D169="…",Данные!$C169,Данные!M169)/IF($A280&lt;0,(1+VAT),(1+$A280))</f>
        <v>0</v>
      </c>
      <c r="P280" s="51">
        <f>IF(Данные!$D169="…",Данные!$C169,Данные!N169)/IF($A280&lt;0,(1+VAT),(1+$A280))</f>
        <v>0</v>
      </c>
      <c r="Q280" s="51">
        <f>IF(Данные!$D169="…",Данные!$C169,Данные!O169)/IF($A280&lt;0,(1+VAT),(1+$A280))</f>
        <v>0</v>
      </c>
    </row>
    <row r="281" spans="1:17" ht="10.5">
      <c r="A281" s="51">
        <v>-1</v>
      </c>
      <c r="B281" s="51">
        <v>-1</v>
      </c>
      <c r="C281" s="228">
        <v>-1</v>
      </c>
      <c r="D281" s="297">
        <v>-1</v>
      </c>
      <c r="E281" s="51">
        <f>Данные!C170/IF($A281&lt;0,(1+VAT),(1+$A281))</f>
        <v>0</v>
      </c>
      <c r="F281" s="51">
        <f>IF(Данные!$D170="…",Данные!$C170,Данные!D170)/IF($A281&lt;0,(1+VAT),(1+$A281))</f>
        <v>0</v>
      </c>
      <c r="G281" s="51">
        <f>IF(Данные!$D170="…",Данные!$C170,Данные!E170)/IF($A281&lt;0,(1+VAT),(1+$A281))</f>
        <v>0</v>
      </c>
      <c r="H281" s="51">
        <f>IF(Данные!$D170="…",Данные!$C170,Данные!F170)/IF($A281&lt;0,(1+VAT),(1+$A281))</f>
        <v>0</v>
      </c>
      <c r="I281" s="51">
        <f>IF(Данные!$D170="…",Данные!$C170,Данные!G170)/IF($A281&lt;0,(1+VAT),(1+$A281))</f>
        <v>0</v>
      </c>
      <c r="J281" s="51">
        <f>IF(Данные!$D170="…",Данные!$C170,Данные!H170)/IF($A281&lt;0,(1+VAT),(1+$A281))</f>
        <v>0</v>
      </c>
      <c r="K281" s="51">
        <f>IF(Данные!$D170="…",Данные!$C170,Данные!I170)/IF($A281&lt;0,(1+VAT),(1+$A281))</f>
        <v>0</v>
      </c>
      <c r="L281" s="51">
        <f>IF(Данные!$D170="…",Данные!$C170,Данные!J170)/IF($A281&lt;0,(1+VAT),(1+$A281))</f>
        <v>0</v>
      </c>
      <c r="M281" s="51">
        <f>IF(Данные!$D170="…",Данные!$C170,Данные!K170)/IF($A281&lt;0,(1+VAT),(1+$A281))</f>
        <v>0</v>
      </c>
      <c r="N281" s="51">
        <f>IF(Данные!$D170="…",Данные!$C170,Данные!L170)/IF($A281&lt;0,(1+VAT),(1+$A281))</f>
        <v>0</v>
      </c>
      <c r="O281" s="51">
        <f>IF(Данные!$D170="…",Данные!$C170,Данные!M170)/IF($A281&lt;0,(1+VAT),(1+$A281))</f>
        <v>0</v>
      </c>
      <c r="P281" s="51">
        <f>IF(Данные!$D170="…",Данные!$C170,Данные!N170)/IF($A281&lt;0,(1+VAT),(1+$A281))</f>
        <v>0</v>
      </c>
      <c r="Q281" s="51">
        <f>IF(Данные!$D170="…",Данные!$C170,Данные!O170)/IF($A281&lt;0,(1+VAT),(1+$A281))</f>
        <v>0</v>
      </c>
    </row>
    <row r="282" spans="1:17" ht="10.5">
      <c r="A282" s="51">
        <v>-1</v>
      </c>
      <c r="B282" s="51">
        <v>-1</v>
      </c>
      <c r="C282" s="228">
        <v>-1</v>
      </c>
      <c r="D282" s="297">
        <v>-1</v>
      </c>
      <c r="E282" s="51">
        <f>Данные!C171/IF($A282&lt;0,(1+VAT),(1+$A282))</f>
        <v>0</v>
      </c>
      <c r="F282" s="51">
        <f>IF(Данные!$D171="…",Данные!$C171,Данные!D171)/IF($A282&lt;0,(1+VAT),(1+$A282))</f>
        <v>0</v>
      </c>
      <c r="G282" s="51">
        <f>IF(Данные!$D171="…",Данные!$C171,Данные!E171)/IF($A282&lt;0,(1+VAT),(1+$A282))</f>
        <v>0</v>
      </c>
      <c r="H282" s="51">
        <f>IF(Данные!$D171="…",Данные!$C171,Данные!F171)/IF($A282&lt;0,(1+VAT),(1+$A282))</f>
        <v>0</v>
      </c>
      <c r="I282" s="51">
        <f>IF(Данные!$D171="…",Данные!$C171,Данные!G171)/IF($A282&lt;0,(1+VAT),(1+$A282))</f>
        <v>0</v>
      </c>
      <c r="J282" s="51">
        <f>IF(Данные!$D171="…",Данные!$C171,Данные!H171)/IF($A282&lt;0,(1+VAT),(1+$A282))</f>
        <v>0</v>
      </c>
      <c r="K282" s="51">
        <f>IF(Данные!$D171="…",Данные!$C171,Данные!I171)/IF($A282&lt;0,(1+VAT),(1+$A282))</f>
        <v>0</v>
      </c>
      <c r="L282" s="51">
        <f>IF(Данные!$D171="…",Данные!$C171,Данные!J171)/IF($A282&lt;0,(1+VAT),(1+$A282))</f>
        <v>0</v>
      </c>
      <c r="M282" s="51">
        <f>IF(Данные!$D171="…",Данные!$C171,Данные!K171)/IF($A282&lt;0,(1+VAT),(1+$A282))</f>
        <v>0</v>
      </c>
      <c r="N282" s="51">
        <f>IF(Данные!$D171="…",Данные!$C171,Данные!L171)/IF($A282&lt;0,(1+VAT),(1+$A282))</f>
        <v>0</v>
      </c>
      <c r="O282" s="51">
        <f>IF(Данные!$D171="…",Данные!$C171,Данные!M171)/IF($A282&lt;0,(1+VAT),(1+$A282))</f>
        <v>0</v>
      </c>
      <c r="P282" s="51">
        <f>IF(Данные!$D171="…",Данные!$C171,Данные!N171)/IF($A282&lt;0,(1+VAT),(1+$A282))</f>
        <v>0</v>
      </c>
      <c r="Q282" s="51">
        <f>IF(Данные!$D171="…",Данные!$C171,Данные!O171)/IF($A282&lt;0,(1+VAT),(1+$A282))</f>
        <v>0</v>
      </c>
    </row>
    <row r="283" spans="1:17" ht="10.5">
      <c r="A283" s="51">
        <v>-1</v>
      </c>
      <c r="B283" s="51">
        <v>-1</v>
      </c>
      <c r="C283" s="228">
        <v>-1</v>
      </c>
      <c r="D283" s="297">
        <v>-1</v>
      </c>
      <c r="E283" s="51">
        <f>Данные!C172/IF($A283&lt;0,(1+VAT),(1+$A283))</f>
        <v>0</v>
      </c>
      <c r="F283" s="51">
        <f>IF(Данные!$D172="…",Данные!$C172,Данные!D172)/IF($A283&lt;0,(1+VAT),(1+$A283))</f>
        <v>0</v>
      </c>
      <c r="G283" s="51">
        <f>IF(Данные!$D172="…",Данные!$C172,Данные!E172)/IF($A283&lt;0,(1+VAT),(1+$A283))</f>
        <v>0</v>
      </c>
      <c r="H283" s="51">
        <f>IF(Данные!$D172="…",Данные!$C172,Данные!F172)/IF($A283&lt;0,(1+VAT),(1+$A283))</f>
        <v>0</v>
      </c>
      <c r="I283" s="51">
        <f>IF(Данные!$D172="…",Данные!$C172,Данные!G172)/IF($A283&lt;0,(1+VAT),(1+$A283))</f>
        <v>0</v>
      </c>
      <c r="J283" s="51">
        <f>IF(Данные!$D172="…",Данные!$C172,Данные!H172)/IF($A283&lt;0,(1+VAT),(1+$A283))</f>
        <v>0</v>
      </c>
      <c r="K283" s="51">
        <f>IF(Данные!$D172="…",Данные!$C172,Данные!I172)/IF($A283&lt;0,(1+VAT),(1+$A283))</f>
        <v>0</v>
      </c>
      <c r="L283" s="51">
        <f>IF(Данные!$D172="…",Данные!$C172,Данные!J172)/IF($A283&lt;0,(1+VAT),(1+$A283))</f>
        <v>0</v>
      </c>
      <c r="M283" s="51">
        <f>IF(Данные!$D172="…",Данные!$C172,Данные!K172)/IF($A283&lt;0,(1+VAT),(1+$A283))</f>
        <v>0</v>
      </c>
      <c r="N283" s="51">
        <f>IF(Данные!$D172="…",Данные!$C172,Данные!L172)/IF($A283&lt;0,(1+VAT),(1+$A283))</f>
        <v>0</v>
      </c>
      <c r="O283" s="51">
        <f>IF(Данные!$D172="…",Данные!$C172,Данные!M172)/IF($A283&lt;0,(1+VAT),(1+$A283))</f>
        <v>0</v>
      </c>
      <c r="P283" s="51">
        <f>IF(Данные!$D172="…",Данные!$C172,Данные!N172)/IF($A283&lt;0,(1+VAT),(1+$A283))</f>
        <v>0</v>
      </c>
      <c r="Q283" s="51">
        <f>IF(Данные!$D172="…",Данные!$C172,Данные!O172)/IF($A283&lt;0,(1+VAT),(1+$A283))</f>
        <v>0</v>
      </c>
    </row>
    <row r="284" spans="1:17" ht="10.5">
      <c r="A284" s="51">
        <v>-1</v>
      </c>
      <c r="B284" s="51">
        <v>-1</v>
      </c>
      <c r="C284" s="228">
        <v>-1</v>
      </c>
      <c r="D284" s="297">
        <v>-1</v>
      </c>
      <c r="E284" s="51">
        <f>Данные!C173/IF($A284&lt;0,(1+VAT),(1+$A284))</f>
        <v>0</v>
      </c>
      <c r="F284" s="51">
        <f>IF(Данные!$D173="…",Данные!$C173,Данные!D173)/IF($A284&lt;0,(1+VAT),(1+$A284))</f>
        <v>0</v>
      </c>
      <c r="G284" s="51">
        <f>IF(Данные!$D173="…",Данные!$C173,Данные!E173)/IF($A284&lt;0,(1+VAT),(1+$A284))</f>
        <v>0</v>
      </c>
      <c r="H284" s="51">
        <f>IF(Данные!$D173="…",Данные!$C173,Данные!F173)/IF($A284&lt;0,(1+VAT),(1+$A284))</f>
        <v>0</v>
      </c>
      <c r="I284" s="51">
        <f>IF(Данные!$D173="…",Данные!$C173,Данные!G173)/IF($A284&lt;0,(1+VAT),(1+$A284))</f>
        <v>0</v>
      </c>
      <c r="J284" s="51">
        <f>IF(Данные!$D173="…",Данные!$C173,Данные!H173)/IF($A284&lt;0,(1+VAT),(1+$A284))</f>
        <v>0</v>
      </c>
      <c r="K284" s="51">
        <f>IF(Данные!$D173="…",Данные!$C173,Данные!I173)/IF($A284&lt;0,(1+VAT),(1+$A284))</f>
        <v>0</v>
      </c>
      <c r="L284" s="51">
        <f>IF(Данные!$D173="…",Данные!$C173,Данные!J173)/IF($A284&lt;0,(1+VAT),(1+$A284))</f>
        <v>0</v>
      </c>
      <c r="M284" s="51">
        <f>IF(Данные!$D173="…",Данные!$C173,Данные!K173)/IF($A284&lt;0,(1+VAT),(1+$A284))</f>
        <v>0</v>
      </c>
      <c r="N284" s="51">
        <f>IF(Данные!$D173="…",Данные!$C173,Данные!L173)/IF($A284&lt;0,(1+VAT),(1+$A284))</f>
        <v>0</v>
      </c>
      <c r="O284" s="51">
        <f>IF(Данные!$D173="…",Данные!$C173,Данные!M173)/IF($A284&lt;0,(1+VAT),(1+$A284))</f>
        <v>0</v>
      </c>
      <c r="P284" s="51">
        <f>IF(Данные!$D173="…",Данные!$C173,Данные!N173)/IF($A284&lt;0,(1+VAT),(1+$A284))</f>
        <v>0</v>
      </c>
      <c r="Q284" s="51">
        <f>IF(Данные!$D173="…",Данные!$C173,Данные!O173)/IF($A284&lt;0,(1+VAT),(1+$A284))</f>
        <v>0</v>
      </c>
    </row>
    <row r="285" spans="4:17" s="228" customFormat="1" ht="10.5">
      <c r="D285" s="297" t="s">
        <v>180</v>
      </c>
      <c r="E285" s="228">
        <f ca="1">IF(GE_COUNT_2&gt;0,SUM(E277:OFFSET(E277,GE_COUNT_2-1,0)),0)</f>
        <v>0</v>
      </c>
      <c r="F285" s="228">
        <f ca="1">IF(GE_COUNT_2&gt;0,SUM(F277:OFFSET(F277,GE_COUNT_2-1,0)),0)</f>
        <v>0</v>
      </c>
      <c r="G285" s="228">
        <f ca="1">IF(GE_COUNT_2&gt;0,SUM(G277:OFFSET(G277,GE_COUNT_2-1,0)),0)</f>
        <v>10000</v>
      </c>
      <c r="H285" s="228">
        <f ca="1">IF(GE_COUNT_2&gt;0,SUM(H277:OFFSET(H277,GE_COUNT_2-1,0)),0)</f>
        <v>10000</v>
      </c>
      <c r="I285" s="228">
        <f ca="1">IF(GE_COUNT_2&gt;0,SUM(I277:OFFSET(I277,GE_COUNT_2-1,0)),0)</f>
        <v>10000</v>
      </c>
      <c r="J285" s="228">
        <f ca="1">IF(GE_COUNT_2&gt;0,SUM(J277:OFFSET(J277,GE_COUNT_2-1,0)),0)</f>
        <v>10000</v>
      </c>
      <c r="K285" s="228">
        <f ca="1">IF(GE_COUNT_2&gt;0,SUM(K277:OFFSET(K277,GE_COUNT_2-1,0)),0)</f>
        <v>10000</v>
      </c>
      <c r="L285" s="228">
        <f ca="1">IF(GE_COUNT_2&gt;0,SUM(L277:OFFSET(L277,GE_COUNT_2-1,0)),0)</f>
        <v>10000</v>
      </c>
      <c r="M285" s="228">
        <f ca="1">IF(GE_COUNT_2&gt;0,SUM(M277:OFFSET(M277,GE_COUNT_2-1,0)),0)</f>
        <v>10000</v>
      </c>
      <c r="N285" s="228">
        <f ca="1">IF(GE_COUNT_2&gt;0,SUM(N277:OFFSET(N277,GE_COUNT_2-1,0)),0)</f>
        <v>10000</v>
      </c>
      <c r="O285" s="228">
        <f ca="1">IF(GE_COUNT_2&gt;0,SUM(O277:OFFSET(O277,GE_COUNT_2-1,0)),0)</f>
        <v>10000</v>
      </c>
      <c r="P285" s="228">
        <f ca="1">IF(GE_COUNT_2&gt;0,SUM(P277:OFFSET(P277,GE_COUNT_2-1,0)),0)</f>
        <v>10000</v>
      </c>
      <c r="Q285" s="228">
        <f ca="1">IF(GE_COUNT_2&gt;0,SUM(Q277:OFFSET(Q277,GE_COUNT_2-1,0)),0)</f>
        <v>10000</v>
      </c>
    </row>
    <row r="286" spans="1:5" s="298" customFormat="1" ht="10.5">
      <c r="A286" s="298" t="s">
        <v>179</v>
      </c>
      <c r="D286" s="299"/>
      <c r="E286" s="298" t="s">
        <v>186</v>
      </c>
    </row>
    <row r="287" spans="1:17" ht="10.5">
      <c r="A287" s="51">
        <v>-1</v>
      </c>
      <c r="B287" s="51">
        <v>-1</v>
      </c>
      <c r="C287" s="228">
        <v>-1</v>
      </c>
      <c r="D287" s="297">
        <v>-1</v>
      </c>
      <c r="E287" s="51">
        <f>Данные!C176/IF($A287&lt;0,(1+VAT),(1+$A287))</f>
        <v>0</v>
      </c>
      <c r="F287" s="51">
        <f>IF(Данные!$D176="…",Данные!$C176,Данные!D176)/IF($A287&lt;0,(1+VAT),(1+$A287))</f>
        <v>20000</v>
      </c>
      <c r="G287" s="51">
        <f>IF(Данные!$D176="…",Данные!$C176,Данные!E176)/IF($A287&lt;0,(1+VAT),(1+$A287))</f>
        <v>100000</v>
      </c>
      <c r="H287" s="51">
        <f>IF(Данные!$D176="…",Данные!$C176,Данные!F176)/IF($A287&lt;0,(1+VAT),(1+$A287))</f>
        <v>0</v>
      </c>
      <c r="I287" s="51">
        <f>IF(Данные!$D176="…",Данные!$C176,Данные!G176)/IF($A287&lt;0,(1+VAT),(1+$A287))</f>
        <v>0</v>
      </c>
      <c r="J287" s="51">
        <f>IF(Данные!$D176="…",Данные!$C176,Данные!H176)/IF($A287&lt;0,(1+VAT),(1+$A287))</f>
        <v>0</v>
      </c>
      <c r="K287" s="51">
        <f>IF(Данные!$D176="…",Данные!$C176,Данные!I176)/IF($A287&lt;0,(1+VAT),(1+$A287))</f>
        <v>0</v>
      </c>
      <c r="L287" s="51">
        <f>IF(Данные!$D176="…",Данные!$C176,Данные!J176)/IF($A287&lt;0,(1+VAT),(1+$A287))</f>
        <v>0</v>
      </c>
      <c r="M287" s="51">
        <f>IF(Данные!$D176="…",Данные!$C176,Данные!K176)/IF($A287&lt;0,(1+VAT),(1+$A287))</f>
        <v>0</v>
      </c>
      <c r="N287" s="51">
        <f>IF(Данные!$D176="…",Данные!$C176,Данные!L176)/IF($A287&lt;0,(1+VAT),(1+$A287))</f>
        <v>0</v>
      </c>
      <c r="O287" s="51">
        <f>IF(Данные!$D176="…",Данные!$C176,Данные!M176)/IF($A287&lt;0,(1+VAT),(1+$A287))</f>
        <v>0</v>
      </c>
      <c r="P287" s="51">
        <f>IF(Данные!$D176="…",Данные!$C176,Данные!N176)/IF($A287&lt;0,(1+VAT),(1+$A287))</f>
        <v>0</v>
      </c>
      <c r="Q287" s="51">
        <f>IF(Данные!$D176="…",Данные!$C176,Данные!O176)/IF($A287&lt;0,(1+VAT),(1+$A287))</f>
        <v>0</v>
      </c>
    </row>
    <row r="288" spans="1:17" ht="10.5">
      <c r="A288" s="51">
        <v>-1</v>
      </c>
      <c r="B288" s="51">
        <v>-1</v>
      </c>
      <c r="C288" s="228">
        <v>-1</v>
      </c>
      <c r="D288" s="297">
        <v>-1</v>
      </c>
      <c r="E288" s="51">
        <f>Данные!C177/IF($A288&lt;0,(1+VAT),(1+$A288))</f>
        <v>60000</v>
      </c>
      <c r="F288" s="51">
        <f>IF(Данные!$D177="…",Данные!$C177,Данные!D177)/IF($A288&lt;0,(1+VAT),(1+$A288))</f>
        <v>80000</v>
      </c>
      <c r="G288" s="51">
        <f>IF(Данные!$D177="…",Данные!$C177,Данные!E177)/IF($A288&lt;0,(1+VAT),(1+$A288))</f>
        <v>80000</v>
      </c>
      <c r="H288" s="51">
        <f>IF(Данные!$D177="…",Данные!$C177,Данные!F177)/IF($A288&lt;0,(1+VAT),(1+$A288))</f>
        <v>80000</v>
      </c>
      <c r="I288" s="51">
        <f>IF(Данные!$D177="…",Данные!$C177,Данные!G177)/IF($A288&lt;0,(1+VAT),(1+$A288))</f>
        <v>80000</v>
      </c>
      <c r="J288" s="51">
        <f>IF(Данные!$D177="…",Данные!$C177,Данные!H177)/IF($A288&lt;0,(1+VAT),(1+$A288))</f>
        <v>80000</v>
      </c>
      <c r="K288" s="51">
        <f>IF(Данные!$D177="…",Данные!$C177,Данные!I177)/IF($A288&lt;0,(1+VAT),(1+$A288))</f>
        <v>80000</v>
      </c>
      <c r="L288" s="51">
        <f>IF(Данные!$D177="…",Данные!$C177,Данные!J177)/IF($A288&lt;0,(1+VAT),(1+$A288))</f>
        <v>80000</v>
      </c>
      <c r="M288" s="51">
        <f>IF(Данные!$D177="…",Данные!$C177,Данные!K177)/IF($A288&lt;0,(1+VAT),(1+$A288))</f>
        <v>80000</v>
      </c>
      <c r="N288" s="51">
        <f>IF(Данные!$D177="…",Данные!$C177,Данные!L177)/IF($A288&lt;0,(1+VAT),(1+$A288))</f>
        <v>80000</v>
      </c>
      <c r="O288" s="51">
        <f>IF(Данные!$D177="…",Данные!$C177,Данные!M177)/IF($A288&lt;0,(1+VAT),(1+$A288))</f>
        <v>80000</v>
      </c>
      <c r="P288" s="51">
        <f>IF(Данные!$D177="…",Данные!$C177,Данные!N177)/IF($A288&lt;0,(1+VAT),(1+$A288))</f>
        <v>80000</v>
      </c>
      <c r="Q288" s="51">
        <f>IF(Данные!$D177="…",Данные!$C177,Данные!O177)/IF($A288&lt;0,(1+VAT),(1+$A288))</f>
        <v>80000</v>
      </c>
    </row>
    <row r="289" spans="1:17" ht="10.5">
      <c r="A289" s="51">
        <v>-1</v>
      </c>
      <c r="B289" s="51">
        <v>-1</v>
      </c>
      <c r="C289" s="228">
        <v>-1</v>
      </c>
      <c r="D289" s="297">
        <v>-1</v>
      </c>
      <c r="E289" s="51">
        <f>Данные!C178/IF($A289&lt;0,(1+VAT),(1+$A289))</f>
        <v>30000</v>
      </c>
      <c r="F289" s="51">
        <f>IF(Данные!$D178="…",Данные!$C178,Данные!D178)/IF($A289&lt;0,(1+VAT),(1+$A289))</f>
        <v>0</v>
      </c>
      <c r="G289" s="51">
        <f>IF(Данные!$D178="…",Данные!$C178,Данные!E178)/IF($A289&lt;0,(1+VAT),(1+$A289))</f>
        <v>0</v>
      </c>
      <c r="H289" s="51">
        <f>IF(Данные!$D178="…",Данные!$C178,Данные!F178)/IF($A289&lt;0,(1+VAT),(1+$A289))</f>
        <v>0</v>
      </c>
      <c r="I289" s="51">
        <f>IF(Данные!$D178="…",Данные!$C178,Данные!G178)/IF($A289&lt;0,(1+VAT),(1+$A289))</f>
        <v>0</v>
      </c>
      <c r="J289" s="51">
        <f>IF(Данные!$D178="…",Данные!$C178,Данные!H178)/IF($A289&lt;0,(1+VAT),(1+$A289))</f>
        <v>0</v>
      </c>
      <c r="K289" s="51">
        <f>IF(Данные!$D178="…",Данные!$C178,Данные!I178)/IF($A289&lt;0,(1+VAT),(1+$A289))</f>
        <v>0</v>
      </c>
      <c r="L289" s="51">
        <f>IF(Данные!$D178="…",Данные!$C178,Данные!J178)/IF($A289&lt;0,(1+VAT),(1+$A289))</f>
        <v>0</v>
      </c>
      <c r="M289" s="51">
        <f>IF(Данные!$D178="…",Данные!$C178,Данные!K178)/IF($A289&lt;0,(1+VAT),(1+$A289))</f>
        <v>0</v>
      </c>
      <c r="N289" s="51">
        <f>IF(Данные!$D178="…",Данные!$C178,Данные!L178)/IF($A289&lt;0,(1+VAT),(1+$A289))</f>
        <v>0</v>
      </c>
      <c r="O289" s="51">
        <f>IF(Данные!$D178="…",Данные!$C178,Данные!M178)/IF($A289&lt;0,(1+VAT),(1+$A289))</f>
        <v>0</v>
      </c>
      <c r="P289" s="51">
        <f>IF(Данные!$D178="…",Данные!$C178,Данные!N178)/IF($A289&lt;0,(1+VAT),(1+$A289))</f>
        <v>0</v>
      </c>
      <c r="Q289" s="51">
        <f>IF(Данные!$D178="…",Данные!$C178,Данные!O178)/IF($A289&lt;0,(1+VAT),(1+$A289))</f>
        <v>0</v>
      </c>
    </row>
    <row r="290" spans="1:17" ht="10.5">
      <c r="A290" s="51">
        <v>-1</v>
      </c>
      <c r="B290" s="51">
        <v>-1</v>
      </c>
      <c r="C290" s="228">
        <v>-1</v>
      </c>
      <c r="D290" s="297">
        <v>-1</v>
      </c>
      <c r="E290" s="51">
        <f>Данные!C179/IF($A290&lt;0,(1+VAT),(1+$A290))</f>
        <v>10000</v>
      </c>
      <c r="F290" s="51">
        <f>IF(Данные!$D179="…",Данные!$C179,Данные!D179)/IF($A290&lt;0,(1+VAT),(1+$A290))</f>
        <v>10000</v>
      </c>
      <c r="G290" s="51">
        <f>IF(Данные!$D179="…",Данные!$C179,Данные!E179)/IF($A290&lt;0,(1+VAT),(1+$A290))</f>
        <v>10000</v>
      </c>
      <c r="H290" s="51">
        <f>IF(Данные!$D179="…",Данные!$C179,Данные!F179)/IF($A290&lt;0,(1+VAT),(1+$A290))</f>
        <v>10000</v>
      </c>
      <c r="I290" s="51">
        <f>IF(Данные!$D179="…",Данные!$C179,Данные!G179)/IF($A290&lt;0,(1+VAT),(1+$A290))</f>
        <v>10000</v>
      </c>
      <c r="J290" s="51">
        <f>IF(Данные!$D179="…",Данные!$C179,Данные!H179)/IF($A290&lt;0,(1+VAT),(1+$A290))</f>
        <v>10000</v>
      </c>
      <c r="K290" s="51">
        <f>IF(Данные!$D179="…",Данные!$C179,Данные!I179)/IF($A290&lt;0,(1+VAT),(1+$A290))</f>
        <v>10000</v>
      </c>
      <c r="L290" s="51">
        <f>IF(Данные!$D179="…",Данные!$C179,Данные!J179)/IF($A290&lt;0,(1+VAT),(1+$A290))</f>
        <v>10000</v>
      </c>
      <c r="M290" s="51">
        <f>IF(Данные!$D179="…",Данные!$C179,Данные!K179)/IF($A290&lt;0,(1+VAT),(1+$A290))</f>
        <v>10000</v>
      </c>
      <c r="N290" s="51">
        <f>IF(Данные!$D179="…",Данные!$C179,Данные!L179)/IF($A290&lt;0,(1+VAT),(1+$A290))</f>
        <v>10000</v>
      </c>
      <c r="O290" s="51">
        <f>IF(Данные!$D179="…",Данные!$C179,Данные!M179)/IF($A290&lt;0,(1+VAT),(1+$A290))</f>
        <v>10000</v>
      </c>
      <c r="P290" s="51">
        <f>IF(Данные!$D179="…",Данные!$C179,Данные!N179)/IF($A290&lt;0,(1+VAT),(1+$A290))</f>
        <v>10000</v>
      </c>
      <c r="Q290" s="51">
        <f>IF(Данные!$D179="…",Данные!$C179,Данные!O179)/IF($A290&lt;0,(1+VAT),(1+$A290))</f>
        <v>10000</v>
      </c>
    </row>
    <row r="291" spans="1:17" ht="10.5">
      <c r="A291" s="51">
        <v>-1</v>
      </c>
      <c r="B291" s="51">
        <v>-1</v>
      </c>
      <c r="C291" s="228">
        <v>-1</v>
      </c>
      <c r="D291" s="297">
        <v>-1</v>
      </c>
      <c r="E291" s="51">
        <f>Данные!C180/IF($A291&lt;0,(1+VAT),(1+$A291))</f>
        <v>0</v>
      </c>
      <c r="F291" s="51">
        <f>IF(Данные!$D180="…",Данные!$C180,Данные!D180)/IF($A291&lt;0,(1+VAT),(1+$A291))</f>
        <v>0</v>
      </c>
      <c r="G291" s="51">
        <f>IF(Данные!$D180="…",Данные!$C180,Данные!E180)/IF($A291&lt;0,(1+VAT),(1+$A291))</f>
        <v>0</v>
      </c>
      <c r="H291" s="51">
        <f>IF(Данные!$D180="…",Данные!$C180,Данные!F180)/IF($A291&lt;0,(1+VAT),(1+$A291))</f>
        <v>0</v>
      </c>
      <c r="I291" s="51">
        <f>IF(Данные!$D180="…",Данные!$C180,Данные!G180)/IF($A291&lt;0,(1+VAT),(1+$A291))</f>
        <v>0</v>
      </c>
      <c r="J291" s="51">
        <f>IF(Данные!$D180="…",Данные!$C180,Данные!H180)/IF($A291&lt;0,(1+VAT),(1+$A291))</f>
        <v>0</v>
      </c>
      <c r="K291" s="51">
        <f>IF(Данные!$D180="…",Данные!$C180,Данные!I180)/IF($A291&lt;0,(1+VAT),(1+$A291))</f>
        <v>0</v>
      </c>
      <c r="L291" s="51">
        <f>IF(Данные!$D180="…",Данные!$C180,Данные!J180)/IF($A291&lt;0,(1+VAT),(1+$A291))</f>
        <v>0</v>
      </c>
      <c r="M291" s="51">
        <f>IF(Данные!$D180="…",Данные!$C180,Данные!K180)/IF($A291&lt;0,(1+VAT),(1+$A291))</f>
        <v>0</v>
      </c>
      <c r="N291" s="51">
        <f>IF(Данные!$D180="…",Данные!$C180,Данные!L180)/IF($A291&lt;0,(1+VAT),(1+$A291))</f>
        <v>0</v>
      </c>
      <c r="O291" s="51">
        <f>IF(Данные!$D180="…",Данные!$C180,Данные!M180)/IF($A291&lt;0,(1+VAT),(1+$A291))</f>
        <v>0</v>
      </c>
      <c r="P291" s="51">
        <f>IF(Данные!$D180="…",Данные!$C180,Данные!N180)/IF($A291&lt;0,(1+VAT),(1+$A291))</f>
        <v>0</v>
      </c>
      <c r="Q291" s="51">
        <f>IF(Данные!$D180="…",Данные!$C180,Данные!O180)/IF($A291&lt;0,(1+VAT),(1+$A291))</f>
        <v>0</v>
      </c>
    </row>
    <row r="292" spans="1:17" ht="10.5">
      <c r="A292" s="51">
        <v>-1</v>
      </c>
      <c r="B292" s="51">
        <v>-1</v>
      </c>
      <c r="C292" s="228">
        <v>-1</v>
      </c>
      <c r="D292" s="297">
        <v>-1</v>
      </c>
      <c r="E292" s="51">
        <f>Данные!C181/IF($A292&lt;0,(1+VAT),(1+$A292))</f>
        <v>0</v>
      </c>
      <c r="F292" s="51">
        <f>IF(Данные!$D181="…",Данные!$C181,Данные!D181)/IF($A292&lt;0,(1+VAT),(1+$A292))</f>
        <v>100000</v>
      </c>
      <c r="G292" s="51">
        <f>IF(Данные!$D181="…",Данные!$C181,Данные!E181)/IF($A292&lt;0,(1+VAT),(1+$A292))</f>
        <v>300000</v>
      </c>
      <c r="H292" s="51">
        <f>IF(Данные!$D181="…",Данные!$C181,Данные!F181)/IF($A292&lt;0,(1+VAT),(1+$A292))</f>
        <v>0</v>
      </c>
      <c r="I292" s="51">
        <f>IF(Данные!$D181="…",Данные!$C181,Данные!G181)/IF($A292&lt;0,(1+VAT),(1+$A292))</f>
        <v>100000</v>
      </c>
      <c r="J292" s="51">
        <f>IF(Данные!$D181="…",Данные!$C181,Данные!H181)/IF($A292&lt;0,(1+VAT),(1+$A292))</f>
        <v>0</v>
      </c>
      <c r="K292" s="51">
        <f>IF(Данные!$D181="…",Данные!$C181,Данные!I181)/IF($A292&lt;0,(1+VAT),(1+$A292))</f>
        <v>300000</v>
      </c>
      <c r="L292" s="51">
        <f>IF(Данные!$D181="…",Данные!$C181,Данные!J181)/IF($A292&lt;0,(1+VAT),(1+$A292))</f>
        <v>0</v>
      </c>
      <c r="M292" s="51">
        <f>IF(Данные!$D181="…",Данные!$C181,Данные!K181)/IF($A292&lt;0,(1+VAT),(1+$A292))</f>
        <v>0</v>
      </c>
      <c r="N292" s="51">
        <f>IF(Данные!$D181="…",Данные!$C181,Данные!L181)/IF($A292&lt;0,(1+VAT),(1+$A292))</f>
        <v>0</v>
      </c>
      <c r="O292" s="51">
        <f>IF(Данные!$D181="…",Данные!$C181,Данные!M181)/IF($A292&lt;0,(1+VAT),(1+$A292))</f>
        <v>0</v>
      </c>
      <c r="P292" s="51">
        <f>IF(Данные!$D181="…",Данные!$C181,Данные!N181)/IF($A292&lt;0,(1+VAT),(1+$A292))</f>
        <v>0</v>
      </c>
      <c r="Q292" s="51">
        <f>IF(Данные!$D181="…",Данные!$C181,Данные!O181)/IF($A292&lt;0,(1+VAT),(1+$A292))</f>
        <v>0</v>
      </c>
    </row>
    <row r="293" spans="1:17" ht="10.5">
      <c r="A293" s="51">
        <v>-1</v>
      </c>
      <c r="B293" s="51">
        <v>-1</v>
      </c>
      <c r="C293" s="228">
        <v>-1</v>
      </c>
      <c r="D293" s="297">
        <v>-1</v>
      </c>
      <c r="E293" s="51">
        <f>Данные!C182/IF($A293&lt;0,(1+VAT),(1+$A293))</f>
        <v>0</v>
      </c>
      <c r="F293" s="51">
        <f>IF(Данные!$D182="…",Данные!$C182,Данные!D182)/IF($A293&lt;0,(1+VAT),(1+$A293))</f>
        <v>100000</v>
      </c>
      <c r="G293" s="51">
        <f>IF(Данные!$D182="…",Данные!$C182,Данные!E182)/IF($A293&lt;0,(1+VAT),(1+$A293))</f>
        <v>100000</v>
      </c>
      <c r="H293" s="51">
        <f>IF(Данные!$D182="…",Данные!$C182,Данные!F182)/IF($A293&lt;0,(1+VAT),(1+$A293))</f>
        <v>100000</v>
      </c>
      <c r="I293" s="51">
        <f>IF(Данные!$D182="…",Данные!$C182,Данные!G182)/IF($A293&lt;0,(1+VAT),(1+$A293))</f>
        <v>100000</v>
      </c>
      <c r="J293" s="51">
        <f>IF(Данные!$D182="…",Данные!$C182,Данные!H182)/IF($A293&lt;0,(1+VAT),(1+$A293))</f>
        <v>100000</v>
      </c>
      <c r="K293" s="51">
        <f>IF(Данные!$D182="…",Данные!$C182,Данные!I182)/IF($A293&lt;0,(1+VAT),(1+$A293))</f>
        <v>100000</v>
      </c>
      <c r="L293" s="51">
        <f>IF(Данные!$D182="…",Данные!$C182,Данные!J182)/IF($A293&lt;0,(1+VAT),(1+$A293))</f>
        <v>0</v>
      </c>
      <c r="M293" s="51">
        <f>IF(Данные!$D182="…",Данные!$C182,Данные!K182)/IF($A293&lt;0,(1+VAT),(1+$A293))</f>
        <v>0</v>
      </c>
      <c r="N293" s="51">
        <f>IF(Данные!$D182="…",Данные!$C182,Данные!L182)/IF($A293&lt;0,(1+VAT),(1+$A293))</f>
        <v>0</v>
      </c>
      <c r="O293" s="51">
        <f>IF(Данные!$D182="…",Данные!$C182,Данные!M182)/IF($A293&lt;0,(1+VAT),(1+$A293))</f>
        <v>0</v>
      </c>
      <c r="P293" s="51">
        <f>IF(Данные!$D182="…",Данные!$C182,Данные!N182)/IF($A293&lt;0,(1+VAT),(1+$A293))</f>
        <v>0</v>
      </c>
      <c r="Q293" s="51">
        <f>IF(Данные!$D182="…",Данные!$C182,Данные!O182)/IF($A293&lt;0,(1+VAT),(1+$A293))</f>
        <v>0</v>
      </c>
    </row>
    <row r="294" spans="1:17" ht="10.5">
      <c r="A294" s="51">
        <v>-1</v>
      </c>
      <c r="B294" s="51">
        <v>-1</v>
      </c>
      <c r="C294" s="228">
        <v>-1</v>
      </c>
      <c r="D294" s="297">
        <v>-1</v>
      </c>
      <c r="E294" s="51">
        <f>Данные!C183/IF($A294&lt;0,(1+VAT),(1+$A294))</f>
        <v>0</v>
      </c>
      <c r="F294" s="51">
        <f>IF(Данные!$D183="…",Данные!$C183,Данные!D183)/IF($A294&lt;0,(1+VAT),(1+$A294))</f>
        <v>240000</v>
      </c>
      <c r="G294" s="51">
        <f>IF(Данные!$D183="…",Данные!$C183,Данные!E183)/IF($A294&lt;0,(1+VAT),(1+$A294))</f>
        <v>240000</v>
      </c>
      <c r="H294" s="51">
        <f>IF(Данные!$D183="…",Данные!$C183,Данные!F183)/IF($A294&lt;0,(1+VAT),(1+$A294))</f>
        <v>120000</v>
      </c>
      <c r="I294" s="51">
        <f>IF(Данные!$D183="…",Данные!$C183,Данные!G183)/IF($A294&lt;0,(1+VAT),(1+$A294))</f>
        <v>120000</v>
      </c>
      <c r="J294" s="51">
        <f>IF(Данные!$D183="…",Данные!$C183,Данные!H183)/IF($A294&lt;0,(1+VAT),(1+$A294))</f>
        <v>120000</v>
      </c>
      <c r="K294" s="51">
        <f>IF(Данные!$D183="…",Данные!$C183,Данные!I183)/IF($A294&lt;0,(1+VAT),(1+$A294))</f>
        <v>120000</v>
      </c>
      <c r="L294" s="51">
        <f>IF(Данные!$D183="…",Данные!$C183,Данные!J183)/IF($A294&lt;0,(1+VAT),(1+$A294))</f>
        <v>0</v>
      </c>
      <c r="M294" s="51">
        <f>IF(Данные!$D183="…",Данные!$C183,Данные!K183)/IF($A294&lt;0,(1+VAT),(1+$A294))</f>
        <v>0</v>
      </c>
      <c r="N294" s="51">
        <f>IF(Данные!$D183="…",Данные!$C183,Данные!L183)/IF($A294&lt;0,(1+VAT),(1+$A294))</f>
        <v>0</v>
      </c>
      <c r="O294" s="51">
        <f>IF(Данные!$D183="…",Данные!$C183,Данные!M183)/IF($A294&lt;0,(1+VAT),(1+$A294))</f>
        <v>120000</v>
      </c>
      <c r="P294" s="51">
        <f>IF(Данные!$D183="…",Данные!$C183,Данные!N183)/IF($A294&lt;0,(1+VAT),(1+$A294))</f>
        <v>120000</v>
      </c>
      <c r="Q294" s="51">
        <f>IF(Данные!$D183="…",Данные!$C183,Данные!O183)/IF($A294&lt;0,(1+VAT),(1+$A294))</f>
        <v>120000</v>
      </c>
    </row>
    <row r="295" spans="1:17" ht="10.5">
      <c r="A295" s="51">
        <v>-1</v>
      </c>
      <c r="B295" s="51">
        <v>-1</v>
      </c>
      <c r="C295" s="228">
        <v>-1</v>
      </c>
      <c r="D295" s="297">
        <v>-1</v>
      </c>
      <c r="E295" s="51">
        <f>Данные!C184/IF($A295&lt;0,(1+VAT),(1+$A295))</f>
        <v>0</v>
      </c>
      <c r="F295" s="51">
        <f>IF(Данные!$D184="…",Данные!$C184,Данные!D184)/IF($A295&lt;0,(1+VAT),(1+$A295))</f>
        <v>0</v>
      </c>
      <c r="G295" s="51">
        <f>IF(Данные!$D184="…",Данные!$C184,Данные!E184)/IF($A295&lt;0,(1+VAT),(1+$A295))</f>
        <v>0</v>
      </c>
      <c r="H295" s="51">
        <f>IF(Данные!$D184="…",Данные!$C184,Данные!F184)/IF($A295&lt;0,(1+VAT),(1+$A295))</f>
        <v>0</v>
      </c>
      <c r="I295" s="51">
        <f>IF(Данные!$D184="…",Данные!$C184,Данные!G184)/IF($A295&lt;0,(1+VAT),(1+$A295))</f>
        <v>0</v>
      </c>
      <c r="J295" s="51">
        <f>IF(Данные!$D184="…",Данные!$C184,Данные!H184)/IF($A295&lt;0,(1+VAT),(1+$A295))</f>
        <v>0</v>
      </c>
      <c r="K295" s="51">
        <f>IF(Данные!$D184="…",Данные!$C184,Данные!I184)/IF($A295&lt;0,(1+VAT),(1+$A295))</f>
        <v>0</v>
      </c>
      <c r="L295" s="51">
        <f>IF(Данные!$D184="…",Данные!$C184,Данные!J184)/IF($A295&lt;0,(1+VAT),(1+$A295))</f>
        <v>0</v>
      </c>
      <c r="M295" s="51">
        <f>IF(Данные!$D184="…",Данные!$C184,Данные!K184)/IF($A295&lt;0,(1+VAT),(1+$A295))</f>
        <v>0</v>
      </c>
      <c r="N295" s="51">
        <f>IF(Данные!$D184="…",Данные!$C184,Данные!L184)/IF($A295&lt;0,(1+VAT),(1+$A295))</f>
        <v>0</v>
      </c>
      <c r="O295" s="51">
        <f>IF(Данные!$D184="…",Данные!$C184,Данные!M184)/IF($A295&lt;0,(1+VAT),(1+$A295))</f>
        <v>0</v>
      </c>
      <c r="P295" s="51">
        <f>IF(Данные!$D184="…",Данные!$C184,Данные!N184)/IF($A295&lt;0,(1+VAT),(1+$A295))</f>
        <v>0</v>
      </c>
      <c r="Q295" s="51">
        <f>IF(Данные!$D184="…",Данные!$C184,Данные!O184)/IF($A295&lt;0,(1+VAT),(1+$A295))</f>
        <v>0</v>
      </c>
    </row>
    <row r="296" spans="1:17" ht="10.5">
      <c r="A296" s="51">
        <v>-1</v>
      </c>
      <c r="B296" s="51">
        <v>-1</v>
      </c>
      <c r="C296" s="228">
        <v>-1</v>
      </c>
      <c r="D296" s="297">
        <v>-1</v>
      </c>
      <c r="E296" s="51">
        <f>Данные!C185/IF($A296&lt;0,(1+VAT),(1+$A296))</f>
        <v>0</v>
      </c>
      <c r="F296" s="51">
        <f>IF(Данные!$D185="…",Данные!$C185,Данные!D185)/IF($A296&lt;0,(1+VAT),(1+$A296))</f>
        <v>0</v>
      </c>
      <c r="G296" s="51">
        <f>IF(Данные!$D185="…",Данные!$C185,Данные!E185)/IF($A296&lt;0,(1+VAT),(1+$A296))</f>
        <v>0</v>
      </c>
      <c r="H296" s="51">
        <f>IF(Данные!$D185="…",Данные!$C185,Данные!F185)/IF($A296&lt;0,(1+VAT),(1+$A296))</f>
        <v>0</v>
      </c>
      <c r="I296" s="51">
        <f>IF(Данные!$D185="…",Данные!$C185,Данные!G185)/IF($A296&lt;0,(1+VAT),(1+$A296))</f>
        <v>0</v>
      </c>
      <c r="J296" s="51">
        <f>IF(Данные!$D185="…",Данные!$C185,Данные!H185)/IF($A296&lt;0,(1+VAT),(1+$A296))</f>
        <v>0</v>
      </c>
      <c r="K296" s="51">
        <f>IF(Данные!$D185="…",Данные!$C185,Данные!I185)/IF($A296&lt;0,(1+VAT),(1+$A296))</f>
        <v>0</v>
      </c>
      <c r="L296" s="51">
        <f>IF(Данные!$D185="…",Данные!$C185,Данные!J185)/IF($A296&lt;0,(1+VAT),(1+$A296))</f>
        <v>0</v>
      </c>
      <c r="M296" s="51">
        <f>IF(Данные!$D185="…",Данные!$C185,Данные!K185)/IF($A296&lt;0,(1+VAT),(1+$A296))</f>
        <v>0</v>
      </c>
      <c r="N296" s="51">
        <f>IF(Данные!$D185="…",Данные!$C185,Данные!L185)/IF($A296&lt;0,(1+VAT),(1+$A296))</f>
        <v>0</v>
      </c>
      <c r="O296" s="51">
        <f>IF(Данные!$D185="…",Данные!$C185,Данные!M185)/IF($A296&lt;0,(1+VAT),(1+$A296))</f>
        <v>0</v>
      </c>
      <c r="P296" s="51">
        <f>IF(Данные!$D185="…",Данные!$C185,Данные!N185)/IF($A296&lt;0,(1+VAT),(1+$A296))</f>
        <v>0</v>
      </c>
      <c r="Q296" s="51">
        <f>IF(Данные!$D185="…",Данные!$C185,Данные!O185)/IF($A296&lt;0,(1+VAT),(1+$A296))</f>
        <v>0</v>
      </c>
    </row>
    <row r="297" spans="1:17" ht="10.5">
      <c r="A297" s="51">
        <v>-1</v>
      </c>
      <c r="B297" s="51">
        <v>-1</v>
      </c>
      <c r="C297" s="228">
        <v>-1</v>
      </c>
      <c r="D297" s="297">
        <v>-1</v>
      </c>
      <c r="E297" s="51">
        <f>Данные!C186/IF($A297&lt;0,(1+VAT),(1+$A297))</f>
        <v>0</v>
      </c>
      <c r="F297" s="51">
        <f>IF(Данные!$D186="…",Данные!$C186,Данные!D186)/IF($A297&lt;0,(1+VAT),(1+$A297))</f>
        <v>0</v>
      </c>
      <c r="G297" s="51">
        <f>IF(Данные!$D186="…",Данные!$C186,Данные!E186)/IF($A297&lt;0,(1+VAT),(1+$A297))</f>
        <v>0</v>
      </c>
      <c r="H297" s="51">
        <f>IF(Данные!$D186="…",Данные!$C186,Данные!F186)/IF($A297&lt;0,(1+VAT),(1+$A297))</f>
        <v>0</v>
      </c>
      <c r="I297" s="51">
        <f>IF(Данные!$D186="…",Данные!$C186,Данные!G186)/IF($A297&lt;0,(1+VAT),(1+$A297))</f>
        <v>0</v>
      </c>
      <c r="J297" s="51">
        <f>IF(Данные!$D186="…",Данные!$C186,Данные!H186)/IF($A297&lt;0,(1+VAT),(1+$A297))</f>
        <v>0</v>
      </c>
      <c r="K297" s="51">
        <f>IF(Данные!$D186="…",Данные!$C186,Данные!I186)/IF($A297&lt;0,(1+VAT),(1+$A297))</f>
        <v>0</v>
      </c>
      <c r="L297" s="51">
        <f>IF(Данные!$D186="…",Данные!$C186,Данные!J186)/IF($A297&lt;0,(1+VAT),(1+$A297))</f>
        <v>0</v>
      </c>
      <c r="M297" s="51">
        <f>IF(Данные!$D186="…",Данные!$C186,Данные!K186)/IF($A297&lt;0,(1+VAT),(1+$A297))</f>
        <v>0</v>
      </c>
      <c r="N297" s="51">
        <f>IF(Данные!$D186="…",Данные!$C186,Данные!L186)/IF($A297&lt;0,(1+VAT),(1+$A297))</f>
        <v>0</v>
      </c>
      <c r="O297" s="51">
        <f>IF(Данные!$D186="…",Данные!$C186,Данные!M186)/IF($A297&lt;0,(1+VAT),(1+$A297))</f>
        <v>0</v>
      </c>
      <c r="P297" s="51">
        <f>IF(Данные!$D186="…",Данные!$C186,Данные!N186)/IF($A297&lt;0,(1+VAT),(1+$A297))</f>
        <v>0</v>
      </c>
      <c r="Q297" s="51">
        <f>IF(Данные!$D186="…",Данные!$C186,Данные!O186)/IF($A297&lt;0,(1+VAT),(1+$A297))</f>
        <v>0</v>
      </c>
    </row>
    <row r="298" spans="1:17" ht="10.5">
      <c r="A298" s="51">
        <v>-1</v>
      </c>
      <c r="B298" s="51">
        <v>-1</v>
      </c>
      <c r="C298" s="228">
        <v>-1</v>
      </c>
      <c r="D298" s="297">
        <v>-1</v>
      </c>
      <c r="E298" s="51">
        <f>Данные!C187/IF($A298&lt;0,(1+VAT),(1+$A298))</f>
        <v>0</v>
      </c>
      <c r="F298" s="51">
        <f>IF(Данные!$D187="…",Данные!$C187,Данные!D187)/IF($A298&lt;0,(1+VAT),(1+$A298))</f>
        <v>0</v>
      </c>
      <c r="G298" s="51">
        <f>IF(Данные!$D187="…",Данные!$C187,Данные!E187)/IF($A298&lt;0,(1+VAT),(1+$A298))</f>
        <v>0</v>
      </c>
      <c r="H298" s="51">
        <f>IF(Данные!$D187="…",Данные!$C187,Данные!F187)/IF($A298&lt;0,(1+VAT),(1+$A298))</f>
        <v>0</v>
      </c>
      <c r="I298" s="51">
        <f>IF(Данные!$D187="…",Данные!$C187,Данные!G187)/IF($A298&lt;0,(1+VAT),(1+$A298))</f>
        <v>0</v>
      </c>
      <c r="J298" s="51">
        <f>IF(Данные!$D187="…",Данные!$C187,Данные!H187)/IF($A298&lt;0,(1+VAT),(1+$A298))</f>
        <v>0</v>
      </c>
      <c r="K298" s="51">
        <f>IF(Данные!$D187="…",Данные!$C187,Данные!I187)/IF($A298&lt;0,(1+VAT),(1+$A298))</f>
        <v>0</v>
      </c>
      <c r="L298" s="51">
        <f>IF(Данные!$D187="…",Данные!$C187,Данные!J187)/IF($A298&lt;0,(1+VAT),(1+$A298))</f>
        <v>0</v>
      </c>
      <c r="M298" s="51">
        <f>IF(Данные!$D187="…",Данные!$C187,Данные!K187)/IF($A298&lt;0,(1+VAT),(1+$A298))</f>
        <v>0</v>
      </c>
      <c r="N298" s="51">
        <f>IF(Данные!$D187="…",Данные!$C187,Данные!L187)/IF($A298&lt;0,(1+VAT),(1+$A298))</f>
        <v>0</v>
      </c>
      <c r="O298" s="51">
        <f>IF(Данные!$D187="…",Данные!$C187,Данные!M187)/IF($A298&lt;0,(1+VAT),(1+$A298))</f>
        <v>0</v>
      </c>
      <c r="P298" s="51">
        <f>IF(Данные!$D187="…",Данные!$C187,Данные!N187)/IF($A298&lt;0,(1+VAT),(1+$A298))</f>
        <v>0</v>
      </c>
      <c r="Q298" s="51">
        <f>IF(Данные!$D187="…",Данные!$C187,Данные!O187)/IF($A298&lt;0,(1+VAT),(1+$A298))</f>
        <v>0</v>
      </c>
    </row>
    <row r="299" spans="4:17" s="228" customFormat="1" ht="10.5">
      <c r="D299" s="297" t="s">
        <v>180</v>
      </c>
      <c r="E299" s="228">
        <f ca="1">IF(GE_COUNT_3&gt;0,SUM(E287:OFFSET(E287,GE_COUNT_3-1,0)),0)</f>
        <v>100000</v>
      </c>
      <c r="F299" s="228">
        <f ca="1">IF(GE_COUNT_3&gt;0,SUM(F287:OFFSET(F287,GE_COUNT_3-1,0)),0)</f>
        <v>550000</v>
      </c>
      <c r="G299" s="228">
        <f ca="1">IF(GE_COUNT_3&gt;0,SUM(G287:OFFSET(G287,GE_COUNT_3-1,0)),0)</f>
        <v>830000</v>
      </c>
      <c r="H299" s="228">
        <f ca="1">IF(GE_COUNT_3&gt;0,SUM(H287:OFFSET(H287,GE_COUNT_3-1,0)),0)</f>
        <v>310000</v>
      </c>
      <c r="I299" s="228">
        <f ca="1">IF(GE_COUNT_3&gt;0,SUM(I287:OFFSET(I287,GE_COUNT_3-1,0)),0)</f>
        <v>410000</v>
      </c>
      <c r="J299" s="228">
        <f ca="1">IF(GE_COUNT_3&gt;0,SUM(J287:OFFSET(J287,GE_COUNT_3-1,0)),0)</f>
        <v>310000</v>
      </c>
      <c r="K299" s="228">
        <f ca="1">IF(GE_COUNT_3&gt;0,SUM(K287:OFFSET(K287,GE_COUNT_3-1,0)),0)</f>
        <v>610000</v>
      </c>
      <c r="L299" s="228">
        <f ca="1">IF(GE_COUNT_3&gt;0,SUM(L287:OFFSET(L287,GE_COUNT_3-1,0)),0)</f>
        <v>90000</v>
      </c>
      <c r="M299" s="228">
        <f ca="1">IF(GE_COUNT_3&gt;0,SUM(M287:OFFSET(M287,GE_COUNT_3-1,0)),0)</f>
        <v>90000</v>
      </c>
      <c r="N299" s="228">
        <f ca="1">IF(GE_COUNT_3&gt;0,SUM(N287:OFFSET(N287,GE_COUNT_3-1,0)),0)</f>
        <v>90000</v>
      </c>
      <c r="O299" s="228">
        <f ca="1">IF(GE_COUNT_3&gt;0,SUM(O287:OFFSET(O287,GE_COUNT_3-1,0)),0)</f>
        <v>210000</v>
      </c>
      <c r="P299" s="228">
        <f ca="1">IF(GE_COUNT_3&gt;0,SUM(P287:OFFSET(P287,GE_COUNT_3-1,0)),0)</f>
        <v>210000</v>
      </c>
      <c r="Q299" s="228">
        <f ca="1">IF(GE_COUNT_3&gt;0,SUM(Q287:OFFSET(Q287,GE_COUNT_3-1,0)),0)</f>
        <v>210000</v>
      </c>
    </row>
    <row r="301" spans="1:5" s="298" customFormat="1" ht="10.5">
      <c r="A301" s="298" t="s">
        <v>177</v>
      </c>
      <c r="D301" s="299"/>
      <c r="E301" s="298" t="s">
        <v>187</v>
      </c>
    </row>
    <row r="302" spans="1:17" ht="10.5">
      <c r="A302" s="228"/>
      <c r="B302" s="228"/>
      <c r="C302" s="228"/>
      <c r="D302" s="297"/>
      <c r="E302" s="51">
        <f aca="true" t="shared" si="54" ref="E302:J310">IF($A266&lt;0,VAT,$A266)*E266</f>
        <v>0</v>
      </c>
      <c r="F302" s="51">
        <f t="shared" si="54"/>
        <v>0</v>
      </c>
      <c r="G302" s="51">
        <f t="shared" si="54"/>
        <v>0</v>
      </c>
      <c r="H302" s="51">
        <f t="shared" si="54"/>
        <v>0</v>
      </c>
      <c r="I302" s="51">
        <f t="shared" si="54"/>
        <v>0</v>
      </c>
      <c r="J302" s="51">
        <f t="shared" si="54"/>
        <v>0</v>
      </c>
      <c r="K302" s="51">
        <f aca="true" t="shared" si="55" ref="K302:Q302">IF($A266&lt;0,VAT,$A266)*K266</f>
        <v>0</v>
      </c>
      <c r="L302" s="51">
        <f t="shared" si="55"/>
        <v>0</v>
      </c>
      <c r="M302" s="51">
        <f t="shared" si="55"/>
        <v>0</v>
      </c>
      <c r="N302" s="51">
        <f t="shared" si="55"/>
        <v>0</v>
      </c>
      <c r="O302" s="51">
        <f t="shared" si="55"/>
        <v>0</v>
      </c>
      <c r="P302" s="51">
        <f t="shared" si="55"/>
        <v>0</v>
      </c>
      <c r="Q302" s="51">
        <f t="shared" si="55"/>
        <v>0</v>
      </c>
    </row>
    <row r="303" spans="1:17" ht="10.5">
      <c r="A303" s="228"/>
      <c r="B303" s="228"/>
      <c r="C303" s="228"/>
      <c r="D303" s="297"/>
      <c r="E303" s="51">
        <f t="shared" si="54"/>
        <v>0</v>
      </c>
      <c r="F303" s="51">
        <f t="shared" si="54"/>
        <v>0</v>
      </c>
      <c r="G303" s="51">
        <f t="shared" si="54"/>
        <v>0</v>
      </c>
      <c r="H303" s="51">
        <f t="shared" si="54"/>
        <v>0</v>
      </c>
      <c r="I303" s="51">
        <f t="shared" si="54"/>
        <v>0</v>
      </c>
      <c r="J303" s="51">
        <f t="shared" si="54"/>
        <v>0</v>
      </c>
      <c r="K303" s="51">
        <f aca="true" t="shared" si="56" ref="K303:Q303">IF($A267&lt;0,VAT,$A267)*K267</f>
        <v>0</v>
      </c>
      <c r="L303" s="51">
        <f t="shared" si="56"/>
        <v>0</v>
      </c>
      <c r="M303" s="51">
        <f t="shared" si="56"/>
        <v>0</v>
      </c>
      <c r="N303" s="51">
        <f t="shared" si="56"/>
        <v>0</v>
      </c>
      <c r="O303" s="51">
        <f t="shared" si="56"/>
        <v>0</v>
      </c>
      <c r="P303" s="51">
        <f t="shared" si="56"/>
        <v>0</v>
      </c>
      <c r="Q303" s="51">
        <f t="shared" si="56"/>
        <v>0</v>
      </c>
    </row>
    <row r="304" spans="1:17" ht="10.5">
      <c r="A304" s="228"/>
      <c r="B304" s="228"/>
      <c r="C304" s="228"/>
      <c r="D304" s="297"/>
      <c r="E304" s="51">
        <f t="shared" si="54"/>
        <v>0</v>
      </c>
      <c r="F304" s="51">
        <f t="shared" si="54"/>
        <v>0</v>
      </c>
      <c r="G304" s="51">
        <f t="shared" si="54"/>
        <v>0</v>
      </c>
      <c r="H304" s="51">
        <f t="shared" si="54"/>
        <v>0</v>
      </c>
      <c r="I304" s="51">
        <f t="shared" si="54"/>
        <v>0</v>
      </c>
      <c r="J304" s="51">
        <f t="shared" si="54"/>
        <v>0</v>
      </c>
      <c r="K304" s="51">
        <f aca="true" t="shared" si="57" ref="K304:Q310">IF($A268&lt;0,VAT,$A268)*K268</f>
        <v>0</v>
      </c>
      <c r="L304" s="51">
        <f t="shared" si="57"/>
        <v>0</v>
      </c>
      <c r="M304" s="51">
        <f t="shared" si="57"/>
        <v>0</v>
      </c>
      <c r="N304" s="51">
        <f t="shared" si="57"/>
        <v>0</v>
      </c>
      <c r="O304" s="51">
        <f t="shared" si="57"/>
        <v>0</v>
      </c>
      <c r="P304" s="51">
        <f t="shared" si="57"/>
        <v>0</v>
      </c>
      <c r="Q304" s="51">
        <f t="shared" si="57"/>
        <v>0</v>
      </c>
    </row>
    <row r="305" spans="1:17" ht="10.5">
      <c r="A305" s="228"/>
      <c r="B305" s="228"/>
      <c r="C305" s="228"/>
      <c r="D305" s="297"/>
      <c r="E305" s="51">
        <f t="shared" si="54"/>
        <v>0</v>
      </c>
      <c r="F305" s="51">
        <f t="shared" si="54"/>
        <v>0</v>
      </c>
      <c r="G305" s="51">
        <f t="shared" si="54"/>
        <v>0</v>
      </c>
      <c r="H305" s="51">
        <f t="shared" si="54"/>
        <v>0</v>
      </c>
      <c r="I305" s="51">
        <f t="shared" si="54"/>
        <v>0</v>
      </c>
      <c r="J305" s="51">
        <f t="shared" si="54"/>
        <v>0</v>
      </c>
      <c r="K305" s="51">
        <f t="shared" si="57"/>
        <v>0</v>
      </c>
      <c r="L305" s="51">
        <f t="shared" si="57"/>
        <v>0</v>
      </c>
      <c r="M305" s="51">
        <f t="shared" si="57"/>
        <v>0</v>
      </c>
      <c r="N305" s="51">
        <f t="shared" si="57"/>
        <v>0</v>
      </c>
      <c r="O305" s="51">
        <f t="shared" si="57"/>
        <v>0</v>
      </c>
      <c r="P305" s="51">
        <f t="shared" si="57"/>
        <v>0</v>
      </c>
      <c r="Q305" s="51">
        <f t="shared" si="57"/>
        <v>0</v>
      </c>
    </row>
    <row r="306" spans="1:17" ht="10.5">
      <c r="A306" s="228"/>
      <c r="B306" s="228"/>
      <c r="C306" s="228"/>
      <c r="D306" s="297"/>
      <c r="E306" s="51">
        <f t="shared" si="54"/>
        <v>0</v>
      </c>
      <c r="F306" s="51">
        <f t="shared" si="54"/>
        <v>0</v>
      </c>
      <c r="G306" s="51">
        <f t="shared" si="54"/>
        <v>0</v>
      </c>
      <c r="H306" s="51">
        <f t="shared" si="54"/>
        <v>0</v>
      </c>
      <c r="I306" s="51">
        <f t="shared" si="54"/>
        <v>0</v>
      </c>
      <c r="J306" s="51">
        <f t="shared" si="54"/>
        <v>0</v>
      </c>
      <c r="K306" s="51">
        <f t="shared" si="57"/>
        <v>0</v>
      </c>
      <c r="L306" s="51">
        <f t="shared" si="57"/>
        <v>0</v>
      </c>
      <c r="M306" s="51">
        <f t="shared" si="57"/>
        <v>0</v>
      </c>
      <c r="N306" s="51">
        <f t="shared" si="57"/>
        <v>0</v>
      </c>
      <c r="O306" s="51">
        <f t="shared" si="57"/>
        <v>0</v>
      </c>
      <c r="P306" s="51">
        <f t="shared" si="57"/>
        <v>0</v>
      </c>
      <c r="Q306" s="51">
        <f t="shared" si="57"/>
        <v>0</v>
      </c>
    </row>
    <row r="307" spans="1:17" ht="10.5">
      <c r="A307" s="228"/>
      <c r="B307" s="228"/>
      <c r="C307" s="228"/>
      <c r="D307" s="297"/>
      <c r="E307" s="51">
        <f t="shared" si="54"/>
        <v>0</v>
      </c>
      <c r="F307" s="51">
        <f t="shared" si="54"/>
        <v>0</v>
      </c>
      <c r="G307" s="51">
        <f t="shared" si="54"/>
        <v>0</v>
      </c>
      <c r="H307" s="51">
        <f t="shared" si="54"/>
        <v>0</v>
      </c>
      <c r="I307" s="51">
        <f t="shared" si="54"/>
        <v>0</v>
      </c>
      <c r="J307" s="51">
        <f t="shared" si="54"/>
        <v>0</v>
      </c>
      <c r="K307" s="51">
        <f t="shared" si="57"/>
        <v>0</v>
      </c>
      <c r="L307" s="51">
        <f t="shared" si="57"/>
        <v>0</v>
      </c>
      <c r="M307" s="51">
        <f t="shared" si="57"/>
        <v>0</v>
      </c>
      <c r="N307" s="51">
        <f t="shared" si="57"/>
        <v>0</v>
      </c>
      <c r="O307" s="51">
        <f t="shared" si="57"/>
        <v>0</v>
      </c>
      <c r="P307" s="51">
        <f t="shared" si="57"/>
        <v>0</v>
      </c>
      <c r="Q307" s="51">
        <f t="shared" si="57"/>
        <v>0</v>
      </c>
    </row>
    <row r="308" spans="1:17" ht="10.5">
      <c r="A308" s="228"/>
      <c r="B308" s="228"/>
      <c r="C308" s="228"/>
      <c r="D308" s="297"/>
      <c r="E308" s="51">
        <f t="shared" si="54"/>
        <v>0</v>
      </c>
      <c r="F308" s="51">
        <f t="shared" si="54"/>
        <v>0</v>
      </c>
      <c r="G308" s="51">
        <f t="shared" si="54"/>
        <v>0</v>
      </c>
      <c r="H308" s="51">
        <f t="shared" si="54"/>
        <v>0</v>
      </c>
      <c r="I308" s="51">
        <f t="shared" si="54"/>
        <v>0</v>
      </c>
      <c r="J308" s="51">
        <f t="shared" si="54"/>
        <v>0</v>
      </c>
      <c r="K308" s="51">
        <f t="shared" si="57"/>
        <v>0</v>
      </c>
      <c r="L308" s="51">
        <f t="shared" si="57"/>
        <v>0</v>
      </c>
      <c r="M308" s="51">
        <f t="shared" si="57"/>
        <v>0</v>
      </c>
      <c r="N308" s="51">
        <f t="shared" si="57"/>
        <v>0</v>
      </c>
      <c r="O308" s="51">
        <f t="shared" si="57"/>
        <v>0</v>
      </c>
      <c r="P308" s="51">
        <f t="shared" si="57"/>
        <v>0</v>
      </c>
      <c r="Q308" s="51">
        <f t="shared" si="57"/>
        <v>0</v>
      </c>
    </row>
    <row r="309" spans="1:17" ht="10.5">
      <c r="A309" s="228"/>
      <c r="B309" s="228"/>
      <c r="C309" s="228"/>
      <c r="D309" s="297"/>
      <c r="E309" s="51">
        <f t="shared" si="54"/>
        <v>0</v>
      </c>
      <c r="F309" s="51">
        <f t="shared" si="54"/>
        <v>0</v>
      </c>
      <c r="G309" s="51">
        <f t="shared" si="54"/>
        <v>0</v>
      </c>
      <c r="H309" s="51">
        <f t="shared" si="54"/>
        <v>0</v>
      </c>
      <c r="I309" s="51">
        <f t="shared" si="54"/>
        <v>0</v>
      </c>
      <c r="J309" s="51">
        <f t="shared" si="54"/>
        <v>0</v>
      </c>
      <c r="K309" s="51">
        <f t="shared" si="57"/>
        <v>0</v>
      </c>
      <c r="L309" s="51">
        <f t="shared" si="57"/>
        <v>0</v>
      </c>
      <c r="M309" s="51">
        <f t="shared" si="57"/>
        <v>0</v>
      </c>
      <c r="N309" s="51">
        <f t="shared" si="57"/>
        <v>0</v>
      </c>
      <c r="O309" s="51">
        <f t="shared" si="57"/>
        <v>0</v>
      </c>
      <c r="P309" s="51">
        <f t="shared" si="57"/>
        <v>0</v>
      </c>
      <c r="Q309" s="51">
        <f t="shared" si="57"/>
        <v>0</v>
      </c>
    </row>
    <row r="310" spans="1:17" ht="10.5">
      <c r="A310" s="228"/>
      <c r="B310" s="228"/>
      <c r="C310" s="228"/>
      <c r="D310" s="297"/>
      <c r="E310" s="51">
        <f t="shared" si="54"/>
        <v>0</v>
      </c>
      <c r="F310" s="51">
        <f t="shared" si="54"/>
        <v>0</v>
      </c>
      <c r="G310" s="51">
        <f t="shared" si="54"/>
        <v>0</v>
      </c>
      <c r="H310" s="51">
        <f t="shared" si="54"/>
        <v>0</v>
      </c>
      <c r="I310" s="51">
        <f t="shared" si="54"/>
        <v>0</v>
      </c>
      <c r="J310" s="51">
        <f t="shared" si="54"/>
        <v>0</v>
      </c>
      <c r="K310" s="51">
        <f t="shared" si="57"/>
        <v>0</v>
      </c>
      <c r="L310" s="51">
        <f t="shared" si="57"/>
        <v>0</v>
      </c>
      <c r="M310" s="51">
        <f t="shared" si="57"/>
        <v>0</v>
      </c>
      <c r="N310" s="51">
        <f t="shared" si="57"/>
        <v>0</v>
      </c>
      <c r="O310" s="51">
        <f t="shared" si="57"/>
        <v>0</v>
      </c>
      <c r="P310" s="51">
        <f t="shared" si="57"/>
        <v>0</v>
      </c>
      <c r="Q310" s="51">
        <f t="shared" si="57"/>
        <v>0</v>
      </c>
    </row>
    <row r="311" spans="4:17" s="228" customFormat="1" ht="10.5">
      <c r="D311" s="297" t="s">
        <v>180</v>
      </c>
      <c r="E311" s="228">
        <f ca="1">IF(GE_COUNT_1&gt;0,SUM(E302:OFFSET(E302,GE_COUNT_1-1,0)),0)</f>
        <v>0</v>
      </c>
      <c r="F311" s="228">
        <f ca="1">IF(GE_COUNT_1&gt;0,SUM(F302:OFFSET(F302,GE_COUNT_1-1,0)),0)</f>
        <v>0</v>
      </c>
      <c r="G311" s="228">
        <f ca="1">IF(GE_COUNT_1&gt;0,SUM(G302:OFFSET(G302,GE_COUNT_1-1,0)),0)</f>
        <v>0</v>
      </c>
      <c r="H311" s="228">
        <f ca="1">IF(GE_COUNT_1&gt;0,SUM(H302:OFFSET(H302,GE_COUNT_1-1,0)),0)</f>
        <v>0</v>
      </c>
      <c r="I311" s="228">
        <f ca="1">IF(GE_COUNT_1&gt;0,SUM(I302:OFFSET(I302,GE_COUNT_1-1,0)),0)</f>
        <v>0</v>
      </c>
      <c r="J311" s="228">
        <f ca="1">IF(GE_COUNT_1&gt;0,SUM(J302:OFFSET(J302,GE_COUNT_1-1,0)),0)</f>
        <v>0</v>
      </c>
      <c r="K311" s="228">
        <f ca="1">IF(GE_COUNT_1&gt;0,SUM(K302:OFFSET(K302,GE_COUNT_1-1,0)),0)</f>
        <v>0</v>
      </c>
      <c r="L311" s="228">
        <f ca="1">IF(GE_COUNT_1&gt;0,SUM(L302:OFFSET(L302,GE_COUNT_1-1,0)),0)</f>
        <v>0</v>
      </c>
      <c r="M311" s="228">
        <f ca="1">IF(GE_COUNT_1&gt;0,SUM(M302:OFFSET(M302,GE_COUNT_1-1,0)),0)</f>
        <v>0</v>
      </c>
      <c r="N311" s="228">
        <f ca="1">IF(GE_COUNT_1&gt;0,SUM(N302:OFFSET(N302,GE_COUNT_1-1,0)),0)</f>
        <v>0</v>
      </c>
      <c r="O311" s="228">
        <f ca="1">IF(GE_COUNT_1&gt;0,SUM(O302:OFFSET(O302,GE_COUNT_1-1,0)),0)</f>
        <v>0</v>
      </c>
      <c r="P311" s="228">
        <f ca="1">IF(GE_COUNT_1&gt;0,SUM(P302:OFFSET(P302,GE_COUNT_1-1,0)),0)</f>
        <v>0</v>
      </c>
      <c r="Q311" s="228">
        <f ca="1">IF(GE_COUNT_1&gt;0,SUM(Q302:OFFSET(Q302,GE_COUNT_1-1,0)),0)</f>
        <v>0</v>
      </c>
    </row>
    <row r="312" spans="1:5" s="298" customFormat="1" ht="10.5">
      <c r="A312" s="298" t="s">
        <v>178</v>
      </c>
      <c r="D312" s="299"/>
      <c r="E312" s="298" t="s">
        <v>187</v>
      </c>
    </row>
    <row r="313" spans="1:17" ht="10.5">
      <c r="A313" s="228"/>
      <c r="B313" s="228"/>
      <c r="C313" s="228"/>
      <c r="D313" s="297"/>
      <c r="E313" s="51">
        <f aca="true" t="shared" si="58" ref="E313:J320">IF($A277&lt;0,VAT,$A277)*E277</f>
        <v>0</v>
      </c>
      <c r="F313" s="51">
        <f t="shared" si="58"/>
        <v>0</v>
      </c>
      <c r="G313" s="51">
        <f t="shared" si="58"/>
        <v>0</v>
      </c>
      <c r="H313" s="51">
        <f t="shared" si="58"/>
        <v>0</v>
      </c>
      <c r="I313" s="51">
        <f t="shared" si="58"/>
        <v>0</v>
      </c>
      <c r="J313" s="51">
        <f t="shared" si="58"/>
        <v>0</v>
      </c>
      <c r="K313" s="51">
        <f aca="true" t="shared" si="59" ref="K313:Q313">IF($A277&lt;0,VAT,$A277)*K277</f>
        <v>0</v>
      </c>
      <c r="L313" s="51">
        <f t="shared" si="59"/>
        <v>0</v>
      </c>
      <c r="M313" s="51">
        <f t="shared" si="59"/>
        <v>0</v>
      </c>
      <c r="N313" s="51">
        <f t="shared" si="59"/>
        <v>0</v>
      </c>
      <c r="O313" s="51">
        <f t="shared" si="59"/>
        <v>0</v>
      </c>
      <c r="P313" s="51">
        <f t="shared" si="59"/>
        <v>0</v>
      </c>
      <c r="Q313" s="51">
        <f t="shared" si="59"/>
        <v>0</v>
      </c>
    </row>
    <row r="314" spans="1:17" ht="10.5">
      <c r="A314" s="228"/>
      <c r="B314" s="228"/>
      <c r="C314" s="228"/>
      <c r="D314" s="297"/>
      <c r="E314" s="51">
        <f t="shared" si="58"/>
        <v>0</v>
      </c>
      <c r="F314" s="51">
        <f t="shared" si="58"/>
        <v>0</v>
      </c>
      <c r="G314" s="51">
        <f t="shared" si="58"/>
        <v>0</v>
      </c>
      <c r="H314" s="51">
        <f t="shared" si="58"/>
        <v>0</v>
      </c>
      <c r="I314" s="51">
        <f t="shared" si="58"/>
        <v>0</v>
      </c>
      <c r="J314" s="51">
        <f t="shared" si="58"/>
        <v>0</v>
      </c>
      <c r="K314" s="51">
        <f aca="true" t="shared" si="60" ref="K314:Q314">IF($A278&lt;0,VAT,$A278)*K278</f>
        <v>0</v>
      </c>
      <c r="L314" s="51">
        <f t="shared" si="60"/>
        <v>0</v>
      </c>
      <c r="M314" s="51">
        <f t="shared" si="60"/>
        <v>0</v>
      </c>
      <c r="N314" s="51">
        <f t="shared" si="60"/>
        <v>0</v>
      </c>
      <c r="O314" s="51">
        <f t="shared" si="60"/>
        <v>0</v>
      </c>
      <c r="P314" s="51">
        <f t="shared" si="60"/>
        <v>0</v>
      </c>
      <c r="Q314" s="51">
        <f t="shared" si="60"/>
        <v>0</v>
      </c>
    </row>
    <row r="315" spans="1:17" ht="10.5">
      <c r="A315" s="228"/>
      <c r="B315" s="228"/>
      <c r="C315" s="228"/>
      <c r="D315" s="297"/>
      <c r="E315" s="51">
        <f t="shared" si="58"/>
        <v>0</v>
      </c>
      <c r="F315" s="51">
        <f t="shared" si="58"/>
        <v>0</v>
      </c>
      <c r="G315" s="51">
        <f t="shared" si="58"/>
        <v>0</v>
      </c>
      <c r="H315" s="51">
        <f t="shared" si="58"/>
        <v>0</v>
      </c>
      <c r="I315" s="51">
        <f t="shared" si="58"/>
        <v>0</v>
      </c>
      <c r="J315" s="51">
        <f t="shared" si="58"/>
        <v>0</v>
      </c>
      <c r="K315" s="51">
        <f aca="true" t="shared" si="61" ref="K315:Q320">IF($A279&lt;0,VAT,$A279)*K279</f>
        <v>0</v>
      </c>
      <c r="L315" s="51">
        <f t="shared" si="61"/>
        <v>0</v>
      </c>
      <c r="M315" s="51">
        <f t="shared" si="61"/>
        <v>0</v>
      </c>
      <c r="N315" s="51">
        <f t="shared" si="61"/>
        <v>0</v>
      </c>
      <c r="O315" s="51">
        <f t="shared" si="61"/>
        <v>0</v>
      </c>
      <c r="P315" s="51">
        <f t="shared" si="61"/>
        <v>0</v>
      </c>
      <c r="Q315" s="51">
        <f t="shared" si="61"/>
        <v>0</v>
      </c>
    </row>
    <row r="316" spans="1:17" ht="10.5">
      <c r="A316" s="228"/>
      <c r="B316" s="228"/>
      <c r="C316" s="228"/>
      <c r="D316" s="297"/>
      <c r="E316" s="51">
        <f t="shared" si="58"/>
        <v>0</v>
      </c>
      <c r="F316" s="51">
        <f t="shared" si="58"/>
        <v>0</v>
      </c>
      <c r="G316" s="51">
        <f t="shared" si="58"/>
        <v>0</v>
      </c>
      <c r="H316" s="51">
        <f t="shared" si="58"/>
        <v>0</v>
      </c>
      <c r="I316" s="51">
        <f t="shared" si="58"/>
        <v>0</v>
      </c>
      <c r="J316" s="51">
        <f t="shared" si="58"/>
        <v>0</v>
      </c>
      <c r="K316" s="51">
        <f t="shared" si="61"/>
        <v>0</v>
      </c>
      <c r="L316" s="51">
        <f t="shared" si="61"/>
        <v>0</v>
      </c>
      <c r="M316" s="51">
        <f t="shared" si="61"/>
        <v>0</v>
      </c>
      <c r="N316" s="51">
        <f t="shared" si="61"/>
        <v>0</v>
      </c>
      <c r="O316" s="51">
        <f t="shared" si="61"/>
        <v>0</v>
      </c>
      <c r="P316" s="51">
        <f t="shared" si="61"/>
        <v>0</v>
      </c>
      <c r="Q316" s="51">
        <f t="shared" si="61"/>
        <v>0</v>
      </c>
    </row>
    <row r="317" spans="1:17" ht="10.5">
      <c r="A317" s="228"/>
      <c r="B317" s="228"/>
      <c r="C317" s="228"/>
      <c r="D317" s="297"/>
      <c r="E317" s="51">
        <f t="shared" si="58"/>
        <v>0</v>
      </c>
      <c r="F317" s="51">
        <f t="shared" si="58"/>
        <v>0</v>
      </c>
      <c r="G317" s="51">
        <f t="shared" si="58"/>
        <v>0</v>
      </c>
      <c r="H317" s="51">
        <f t="shared" si="58"/>
        <v>0</v>
      </c>
      <c r="I317" s="51">
        <f t="shared" si="58"/>
        <v>0</v>
      </c>
      <c r="J317" s="51">
        <f t="shared" si="58"/>
        <v>0</v>
      </c>
      <c r="K317" s="51">
        <f t="shared" si="61"/>
        <v>0</v>
      </c>
      <c r="L317" s="51">
        <f t="shared" si="61"/>
        <v>0</v>
      </c>
      <c r="M317" s="51">
        <f t="shared" si="61"/>
        <v>0</v>
      </c>
      <c r="N317" s="51">
        <f t="shared" si="61"/>
        <v>0</v>
      </c>
      <c r="O317" s="51">
        <f t="shared" si="61"/>
        <v>0</v>
      </c>
      <c r="P317" s="51">
        <f t="shared" si="61"/>
        <v>0</v>
      </c>
      <c r="Q317" s="51">
        <f t="shared" si="61"/>
        <v>0</v>
      </c>
    </row>
    <row r="318" spans="1:17" ht="10.5">
      <c r="A318" s="228"/>
      <c r="B318" s="228"/>
      <c r="C318" s="228"/>
      <c r="D318" s="297"/>
      <c r="E318" s="51">
        <f t="shared" si="58"/>
        <v>0</v>
      </c>
      <c r="F318" s="51">
        <f t="shared" si="58"/>
        <v>0</v>
      </c>
      <c r="G318" s="51">
        <f t="shared" si="58"/>
        <v>0</v>
      </c>
      <c r="H318" s="51">
        <f t="shared" si="58"/>
        <v>0</v>
      </c>
      <c r="I318" s="51">
        <f t="shared" si="58"/>
        <v>0</v>
      </c>
      <c r="J318" s="51">
        <f t="shared" si="58"/>
        <v>0</v>
      </c>
      <c r="K318" s="51">
        <f t="shared" si="61"/>
        <v>0</v>
      </c>
      <c r="L318" s="51">
        <f t="shared" si="61"/>
        <v>0</v>
      </c>
      <c r="M318" s="51">
        <f t="shared" si="61"/>
        <v>0</v>
      </c>
      <c r="N318" s="51">
        <f t="shared" si="61"/>
        <v>0</v>
      </c>
      <c r="O318" s="51">
        <f t="shared" si="61"/>
        <v>0</v>
      </c>
      <c r="P318" s="51">
        <f t="shared" si="61"/>
        <v>0</v>
      </c>
      <c r="Q318" s="51">
        <f t="shared" si="61"/>
        <v>0</v>
      </c>
    </row>
    <row r="319" spans="1:17" ht="10.5">
      <c r="A319" s="228"/>
      <c r="B319" s="228"/>
      <c r="C319" s="228"/>
      <c r="D319" s="297"/>
      <c r="E319" s="51">
        <f t="shared" si="58"/>
        <v>0</v>
      </c>
      <c r="F319" s="51">
        <f t="shared" si="58"/>
        <v>0</v>
      </c>
      <c r="G319" s="51">
        <f t="shared" si="58"/>
        <v>0</v>
      </c>
      <c r="H319" s="51">
        <f t="shared" si="58"/>
        <v>0</v>
      </c>
      <c r="I319" s="51">
        <f t="shared" si="58"/>
        <v>0</v>
      </c>
      <c r="J319" s="51">
        <f t="shared" si="58"/>
        <v>0</v>
      </c>
      <c r="K319" s="51">
        <f t="shared" si="61"/>
        <v>0</v>
      </c>
      <c r="L319" s="51">
        <f t="shared" si="61"/>
        <v>0</v>
      </c>
      <c r="M319" s="51">
        <f t="shared" si="61"/>
        <v>0</v>
      </c>
      <c r="N319" s="51">
        <f t="shared" si="61"/>
        <v>0</v>
      </c>
      <c r="O319" s="51">
        <f t="shared" si="61"/>
        <v>0</v>
      </c>
      <c r="P319" s="51">
        <f t="shared" si="61"/>
        <v>0</v>
      </c>
      <c r="Q319" s="51">
        <f t="shared" si="61"/>
        <v>0</v>
      </c>
    </row>
    <row r="320" spans="1:17" ht="10.5">
      <c r="A320" s="228"/>
      <c r="B320" s="228"/>
      <c r="C320" s="228"/>
      <c r="D320" s="297"/>
      <c r="E320" s="51">
        <f t="shared" si="58"/>
        <v>0</v>
      </c>
      <c r="F320" s="51">
        <f t="shared" si="58"/>
        <v>0</v>
      </c>
      <c r="G320" s="51">
        <f t="shared" si="58"/>
        <v>0</v>
      </c>
      <c r="H320" s="51">
        <f t="shared" si="58"/>
        <v>0</v>
      </c>
      <c r="I320" s="51">
        <f t="shared" si="58"/>
        <v>0</v>
      </c>
      <c r="J320" s="51">
        <f t="shared" si="58"/>
        <v>0</v>
      </c>
      <c r="K320" s="51">
        <f t="shared" si="61"/>
        <v>0</v>
      </c>
      <c r="L320" s="51">
        <f t="shared" si="61"/>
        <v>0</v>
      </c>
      <c r="M320" s="51">
        <f t="shared" si="61"/>
        <v>0</v>
      </c>
      <c r="N320" s="51">
        <f t="shared" si="61"/>
        <v>0</v>
      </c>
      <c r="O320" s="51">
        <f t="shared" si="61"/>
        <v>0</v>
      </c>
      <c r="P320" s="51">
        <f t="shared" si="61"/>
        <v>0</v>
      </c>
      <c r="Q320" s="51">
        <f t="shared" si="61"/>
        <v>0</v>
      </c>
    </row>
    <row r="321" spans="4:17" s="228" customFormat="1" ht="10.5">
      <c r="D321" s="297" t="s">
        <v>180</v>
      </c>
      <c r="E321" s="228">
        <f ca="1">IF(GE_COUNT_2&gt;0,SUM(E313:OFFSET(E313,GE_COUNT_2-1,0)),0)</f>
        <v>0</v>
      </c>
      <c r="F321" s="228">
        <f ca="1">IF(GE_COUNT_2&gt;0,SUM(F313:OFFSET(F313,GE_COUNT_2-1,0)),0)</f>
        <v>0</v>
      </c>
      <c r="G321" s="228">
        <f ca="1">IF(GE_COUNT_2&gt;0,SUM(G313:OFFSET(G313,GE_COUNT_2-1,0)),0)</f>
        <v>0</v>
      </c>
      <c r="H321" s="228">
        <f ca="1">IF(GE_COUNT_2&gt;0,SUM(H313:OFFSET(H313,GE_COUNT_2-1,0)),0)</f>
        <v>0</v>
      </c>
      <c r="I321" s="228">
        <f ca="1">IF(GE_COUNT_2&gt;0,SUM(I313:OFFSET(I313,GE_COUNT_2-1,0)),0)</f>
        <v>0</v>
      </c>
      <c r="J321" s="228">
        <f ca="1">IF(GE_COUNT_2&gt;0,SUM(J313:OFFSET(J313,GE_COUNT_2-1,0)),0)</f>
        <v>0</v>
      </c>
      <c r="K321" s="228">
        <f ca="1">IF(GE_COUNT_2&gt;0,SUM(K313:OFFSET(K313,GE_COUNT_2-1,0)),0)</f>
        <v>0</v>
      </c>
      <c r="L321" s="228">
        <f ca="1">IF(GE_COUNT_2&gt;0,SUM(L313:OFFSET(L313,GE_COUNT_2-1,0)),0)</f>
        <v>0</v>
      </c>
      <c r="M321" s="228">
        <f ca="1">IF(GE_COUNT_2&gt;0,SUM(M313:OFFSET(M313,GE_COUNT_2-1,0)),0)</f>
        <v>0</v>
      </c>
      <c r="N321" s="228">
        <f ca="1">IF(GE_COUNT_2&gt;0,SUM(N313:OFFSET(N313,GE_COUNT_2-1,0)),0)</f>
        <v>0</v>
      </c>
      <c r="O321" s="228">
        <f ca="1">IF(GE_COUNT_2&gt;0,SUM(O313:OFFSET(O313,GE_COUNT_2-1,0)),0)</f>
        <v>0</v>
      </c>
      <c r="P321" s="228">
        <f ca="1">IF(GE_COUNT_2&gt;0,SUM(P313:OFFSET(P313,GE_COUNT_2-1,0)),0)</f>
        <v>0</v>
      </c>
      <c r="Q321" s="228">
        <f ca="1">IF(GE_COUNT_2&gt;0,SUM(Q313:OFFSET(Q313,GE_COUNT_2-1,0)),0)</f>
        <v>0</v>
      </c>
    </row>
    <row r="322" spans="1:5" s="298" customFormat="1" ht="10.5">
      <c r="A322" s="298" t="s">
        <v>179</v>
      </c>
      <c r="D322" s="299"/>
      <c r="E322" s="298" t="s">
        <v>187</v>
      </c>
    </row>
    <row r="323" spans="1:17" ht="10.5">
      <c r="A323" s="228"/>
      <c r="B323" s="228"/>
      <c r="C323" s="228"/>
      <c r="D323" s="297"/>
      <c r="E323" s="51">
        <f aca="true" t="shared" si="62" ref="E323:J334">IF($A287&lt;0,VAT,$A287)*E287</f>
        <v>0</v>
      </c>
      <c r="F323" s="51">
        <f t="shared" si="62"/>
        <v>0</v>
      </c>
      <c r="G323" s="51">
        <f t="shared" si="62"/>
        <v>0</v>
      </c>
      <c r="H323" s="51">
        <f t="shared" si="62"/>
        <v>0</v>
      </c>
      <c r="I323" s="51">
        <f t="shared" si="62"/>
        <v>0</v>
      </c>
      <c r="J323" s="51">
        <f t="shared" si="62"/>
        <v>0</v>
      </c>
      <c r="K323" s="51">
        <f aca="true" t="shared" si="63" ref="K323:Q323">IF($A287&lt;0,VAT,$A287)*K287</f>
        <v>0</v>
      </c>
      <c r="L323" s="51">
        <f t="shared" si="63"/>
        <v>0</v>
      </c>
      <c r="M323" s="51">
        <f t="shared" si="63"/>
        <v>0</v>
      </c>
      <c r="N323" s="51">
        <f t="shared" si="63"/>
        <v>0</v>
      </c>
      <c r="O323" s="51">
        <f t="shared" si="63"/>
        <v>0</v>
      </c>
      <c r="P323" s="51">
        <f t="shared" si="63"/>
        <v>0</v>
      </c>
      <c r="Q323" s="51">
        <f t="shared" si="63"/>
        <v>0</v>
      </c>
    </row>
    <row r="324" spans="1:17" ht="10.5">
      <c r="A324" s="228"/>
      <c r="B324" s="228"/>
      <c r="C324" s="228"/>
      <c r="D324" s="297"/>
      <c r="E324" s="51">
        <f t="shared" si="62"/>
        <v>0</v>
      </c>
      <c r="F324" s="51">
        <f t="shared" si="62"/>
        <v>0</v>
      </c>
      <c r="G324" s="51">
        <f t="shared" si="62"/>
        <v>0</v>
      </c>
      <c r="H324" s="51">
        <f t="shared" si="62"/>
        <v>0</v>
      </c>
      <c r="I324" s="51">
        <f t="shared" si="62"/>
        <v>0</v>
      </c>
      <c r="J324" s="51">
        <f t="shared" si="62"/>
        <v>0</v>
      </c>
      <c r="K324" s="51">
        <f aca="true" t="shared" si="64" ref="K324:Q324">IF($A288&lt;0,VAT,$A288)*K288</f>
        <v>0</v>
      </c>
      <c r="L324" s="51">
        <f t="shared" si="64"/>
        <v>0</v>
      </c>
      <c r="M324" s="51">
        <f t="shared" si="64"/>
        <v>0</v>
      </c>
      <c r="N324" s="51">
        <f t="shared" si="64"/>
        <v>0</v>
      </c>
      <c r="O324" s="51">
        <f t="shared" si="64"/>
        <v>0</v>
      </c>
      <c r="P324" s="51">
        <f t="shared" si="64"/>
        <v>0</v>
      </c>
      <c r="Q324" s="51">
        <f t="shared" si="64"/>
        <v>0</v>
      </c>
    </row>
    <row r="325" spans="1:17" ht="10.5">
      <c r="A325" s="228"/>
      <c r="B325" s="228"/>
      <c r="C325" s="228"/>
      <c r="D325" s="297"/>
      <c r="E325" s="51">
        <f t="shared" si="62"/>
        <v>0</v>
      </c>
      <c r="F325" s="51">
        <f t="shared" si="62"/>
        <v>0</v>
      </c>
      <c r="G325" s="51">
        <f t="shared" si="62"/>
        <v>0</v>
      </c>
      <c r="H325" s="51">
        <f t="shared" si="62"/>
        <v>0</v>
      </c>
      <c r="I325" s="51">
        <f t="shared" si="62"/>
        <v>0</v>
      </c>
      <c r="J325" s="51">
        <f t="shared" si="62"/>
        <v>0</v>
      </c>
      <c r="K325" s="51">
        <f aca="true" t="shared" si="65" ref="K325:Q334">IF($A289&lt;0,VAT,$A289)*K289</f>
        <v>0</v>
      </c>
      <c r="L325" s="51">
        <f t="shared" si="65"/>
        <v>0</v>
      </c>
      <c r="M325" s="51">
        <f t="shared" si="65"/>
        <v>0</v>
      </c>
      <c r="N325" s="51">
        <f t="shared" si="65"/>
        <v>0</v>
      </c>
      <c r="O325" s="51">
        <f t="shared" si="65"/>
        <v>0</v>
      </c>
      <c r="P325" s="51">
        <f t="shared" si="65"/>
        <v>0</v>
      </c>
      <c r="Q325" s="51">
        <f t="shared" si="65"/>
        <v>0</v>
      </c>
    </row>
    <row r="326" spans="1:17" ht="10.5">
      <c r="A326" s="228"/>
      <c r="B326" s="228"/>
      <c r="C326" s="228"/>
      <c r="D326" s="297"/>
      <c r="E326" s="51">
        <f t="shared" si="62"/>
        <v>0</v>
      </c>
      <c r="F326" s="51">
        <f t="shared" si="62"/>
        <v>0</v>
      </c>
      <c r="G326" s="51">
        <f t="shared" si="62"/>
        <v>0</v>
      </c>
      <c r="H326" s="51">
        <f t="shared" si="62"/>
        <v>0</v>
      </c>
      <c r="I326" s="51">
        <f t="shared" si="62"/>
        <v>0</v>
      </c>
      <c r="J326" s="51">
        <f t="shared" si="62"/>
        <v>0</v>
      </c>
      <c r="K326" s="51">
        <f t="shared" si="65"/>
        <v>0</v>
      </c>
      <c r="L326" s="51">
        <f t="shared" si="65"/>
        <v>0</v>
      </c>
      <c r="M326" s="51">
        <f t="shared" si="65"/>
        <v>0</v>
      </c>
      <c r="N326" s="51">
        <f t="shared" si="65"/>
        <v>0</v>
      </c>
      <c r="O326" s="51">
        <f t="shared" si="65"/>
        <v>0</v>
      </c>
      <c r="P326" s="51">
        <f t="shared" si="65"/>
        <v>0</v>
      </c>
      <c r="Q326" s="51">
        <f t="shared" si="65"/>
        <v>0</v>
      </c>
    </row>
    <row r="327" spans="1:17" ht="10.5">
      <c r="A327" s="228"/>
      <c r="B327" s="228"/>
      <c r="C327" s="228"/>
      <c r="D327" s="297"/>
      <c r="E327" s="51">
        <f t="shared" si="62"/>
        <v>0</v>
      </c>
      <c r="F327" s="51">
        <f t="shared" si="62"/>
        <v>0</v>
      </c>
      <c r="G327" s="51">
        <f t="shared" si="62"/>
        <v>0</v>
      </c>
      <c r="H327" s="51">
        <f t="shared" si="62"/>
        <v>0</v>
      </c>
      <c r="I327" s="51">
        <f t="shared" si="62"/>
        <v>0</v>
      </c>
      <c r="J327" s="51">
        <f t="shared" si="62"/>
        <v>0</v>
      </c>
      <c r="K327" s="51">
        <f t="shared" si="65"/>
        <v>0</v>
      </c>
      <c r="L327" s="51">
        <f t="shared" si="65"/>
        <v>0</v>
      </c>
      <c r="M327" s="51">
        <f t="shared" si="65"/>
        <v>0</v>
      </c>
      <c r="N327" s="51">
        <f t="shared" si="65"/>
        <v>0</v>
      </c>
      <c r="O327" s="51">
        <f t="shared" si="65"/>
        <v>0</v>
      </c>
      <c r="P327" s="51">
        <f t="shared" si="65"/>
        <v>0</v>
      </c>
      <c r="Q327" s="51">
        <f t="shared" si="65"/>
        <v>0</v>
      </c>
    </row>
    <row r="328" spans="1:17" ht="10.5">
      <c r="A328" s="228"/>
      <c r="B328" s="228"/>
      <c r="C328" s="228"/>
      <c r="D328" s="297"/>
      <c r="E328" s="51">
        <f t="shared" si="62"/>
        <v>0</v>
      </c>
      <c r="F328" s="51">
        <f t="shared" si="62"/>
        <v>0</v>
      </c>
      <c r="G328" s="51">
        <f t="shared" si="62"/>
        <v>0</v>
      </c>
      <c r="H328" s="51">
        <f t="shared" si="62"/>
        <v>0</v>
      </c>
      <c r="I328" s="51">
        <f t="shared" si="62"/>
        <v>0</v>
      </c>
      <c r="J328" s="51">
        <f t="shared" si="62"/>
        <v>0</v>
      </c>
      <c r="K328" s="51">
        <f t="shared" si="65"/>
        <v>0</v>
      </c>
      <c r="L328" s="51">
        <f t="shared" si="65"/>
        <v>0</v>
      </c>
      <c r="M328" s="51">
        <f t="shared" si="65"/>
        <v>0</v>
      </c>
      <c r="N328" s="51">
        <f t="shared" si="65"/>
        <v>0</v>
      </c>
      <c r="O328" s="51">
        <f t="shared" si="65"/>
        <v>0</v>
      </c>
      <c r="P328" s="51">
        <f t="shared" si="65"/>
        <v>0</v>
      </c>
      <c r="Q328" s="51">
        <f t="shared" si="65"/>
        <v>0</v>
      </c>
    </row>
    <row r="329" spans="1:17" ht="10.5">
      <c r="A329" s="228"/>
      <c r="B329" s="228"/>
      <c r="C329" s="228"/>
      <c r="D329" s="297"/>
      <c r="E329" s="51">
        <f t="shared" si="62"/>
        <v>0</v>
      </c>
      <c r="F329" s="51">
        <f t="shared" si="62"/>
        <v>0</v>
      </c>
      <c r="G329" s="51">
        <f t="shared" si="62"/>
        <v>0</v>
      </c>
      <c r="H329" s="51">
        <f t="shared" si="62"/>
        <v>0</v>
      </c>
      <c r="I329" s="51">
        <f t="shared" si="62"/>
        <v>0</v>
      </c>
      <c r="J329" s="51">
        <f t="shared" si="62"/>
        <v>0</v>
      </c>
      <c r="K329" s="51">
        <f t="shared" si="65"/>
        <v>0</v>
      </c>
      <c r="L329" s="51">
        <f t="shared" si="65"/>
        <v>0</v>
      </c>
      <c r="M329" s="51">
        <f t="shared" si="65"/>
        <v>0</v>
      </c>
      <c r="N329" s="51">
        <f t="shared" si="65"/>
        <v>0</v>
      </c>
      <c r="O329" s="51">
        <f t="shared" si="65"/>
        <v>0</v>
      </c>
      <c r="P329" s="51">
        <f t="shared" si="65"/>
        <v>0</v>
      </c>
      <c r="Q329" s="51">
        <f t="shared" si="65"/>
        <v>0</v>
      </c>
    </row>
    <row r="330" spans="1:17" ht="10.5">
      <c r="A330" s="228"/>
      <c r="B330" s="228"/>
      <c r="C330" s="228"/>
      <c r="D330" s="297"/>
      <c r="E330" s="51">
        <f t="shared" si="62"/>
        <v>0</v>
      </c>
      <c r="F330" s="51">
        <f t="shared" si="62"/>
        <v>0</v>
      </c>
      <c r="G330" s="51">
        <f t="shared" si="62"/>
        <v>0</v>
      </c>
      <c r="H330" s="51">
        <f t="shared" si="62"/>
        <v>0</v>
      </c>
      <c r="I330" s="51">
        <f t="shared" si="62"/>
        <v>0</v>
      </c>
      <c r="J330" s="51">
        <f t="shared" si="62"/>
        <v>0</v>
      </c>
      <c r="K330" s="51">
        <f t="shared" si="65"/>
        <v>0</v>
      </c>
      <c r="L330" s="51">
        <f t="shared" si="65"/>
        <v>0</v>
      </c>
      <c r="M330" s="51">
        <f t="shared" si="65"/>
        <v>0</v>
      </c>
      <c r="N330" s="51">
        <f t="shared" si="65"/>
        <v>0</v>
      </c>
      <c r="O330" s="51">
        <f t="shared" si="65"/>
        <v>0</v>
      </c>
      <c r="P330" s="51">
        <f t="shared" si="65"/>
        <v>0</v>
      </c>
      <c r="Q330" s="51">
        <f t="shared" si="65"/>
        <v>0</v>
      </c>
    </row>
    <row r="331" spans="1:17" ht="10.5">
      <c r="A331" s="228"/>
      <c r="B331" s="228"/>
      <c r="C331" s="228"/>
      <c r="D331" s="297"/>
      <c r="E331" s="51">
        <f t="shared" si="62"/>
        <v>0</v>
      </c>
      <c r="F331" s="51">
        <f t="shared" si="62"/>
        <v>0</v>
      </c>
      <c r="G331" s="51">
        <f t="shared" si="62"/>
        <v>0</v>
      </c>
      <c r="H331" s="51">
        <f t="shared" si="62"/>
        <v>0</v>
      </c>
      <c r="I331" s="51">
        <f t="shared" si="62"/>
        <v>0</v>
      </c>
      <c r="J331" s="51">
        <f t="shared" si="62"/>
        <v>0</v>
      </c>
      <c r="K331" s="51">
        <f t="shared" si="65"/>
        <v>0</v>
      </c>
      <c r="L331" s="51">
        <f t="shared" si="65"/>
        <v>0</v>
      </c>
      <c r="M331" s="51">
        <f t="shared" si="65"/>
        <v>0</v>
      </c>
      <c r="N331" s="51">
        <f t="shared" si="65"/>
        <v>0</v>
      </c>
      <c r="O331" s="51">
        <f t="shared" si="65"/>
        <v>0</v>
      </c>
      <c r="P331" s="51">
        <f t="shared" si="65"/>
        <v>0</v>
      </c>
      <c r="Q331" s="51">
        <f t="shared" si="65"/>
        <v>0</v>
      </c>
    </row>
    <row r="332" spans="1:17" ht="10.5">
      <c r="A332" s="228"/>
      <c r="B332" s="228"/>
      <c r="C332" s="228"/>
      <c r="D332" s="297"/>
      <c r="E332" s="51">
        <f t="shared" si="62"/>
        <v>0</v>
      </c>
      <c r="F332" s="51">
        <f t="shared" si="62"/>
        <v>0</v>
      </c>
      <c r="G332" s="51">
        <f t="shared" si="62"/>
        <v>0</v>
      </c>
      <c r="H332" s="51">
        <f t="shared" si="62"/>
        <v>0</v>
      </c>
      <c r="I332" s="51">
        <f t="shared" si="62"/>
        <v>0</v>
      </c>
      <c r="J332" s="51">
        <f t="shared" si="62"/>
        <v>0</v>
      </c>
      <c r="K332" s="51">
        <f t="shared" si="65"/>
        <v>0</v>
      </c>
      <c r="L332" s="51">
        <f t="shared" si="65"/>
        <v>0</v>
      </c>
      <c r="M332" s="51">
        <f t="shared" si="65"/>
        <v>0</v>
      </c>
      <c r="N332" s="51">
        <f t="shared" si="65"/>
        <v>0</v>
      </c>
      <c r="O332" s="51">
        <f t="shared" si="65"/>
        <v>0</v>
      </c>
      <c r="P332" s="51">
        <f t="shared" si="65"/>
        <v>0</v>
      </c>
      <c r="Q332" s="51">
        <f t="shared" si="65"/>
        <v>0</v>
      </c>
    </row>
    <row r="333" spans="1:17" ht="10.5">
      <c r="A333" s="228"/>
      <c r="B333" s="228"/>
      <c r="C333" s="228"/>
      <c r="D333" s="297"/>
      <c r="E333" s="51">
        <f t="shared" si="62"/>
        <v>0</v>
      </c>
      <c r="F333" s="51">
        <f t="shared" si="62"/>
        <v>0</v>
      </c>
      <c r="G333" s="51">
        <f t="shared" si="62"/>
        <v>0</v>
      </c>
      <c r="H333" s="51">
        <f t="shared" si="62"/>
        <v>0</v>
      </c>
      <c r="I333" s="51">
        <f t="shared" si="62"/>
        <v>0</v>
      </c>
      <c r="J333" s="51">
        <f t="shared" si="62"/>
        <v>0</v>
      </c>
      <c r="K333" s="51">
        <f t="shared" si="65"/>
        <v>0</v>
      </c>
      <c r="L333" s="51">
        <f t="shared" si="65"/>
        <v>0</v>
      </c>
      <c r="M333" s="51">
        <f t="shared" si="65"/>
        <v>0</v>
      </c>
      <c r="N333" s="51">
        <f t="shared" si="65"/>
        <v>0</v>
      </c>
      <c r="O333" s="51">
        <f t="shared" si="65"/>
        <v>0</v>
      </c>
      <c r="P333" s="51">
        <f t="shared" si="65"/>
        <v>0</v>
      </c>
      <c r="Q333" s="51">
        <f t="shared" si="65"/>
        <v>0</v>
      </c>
    </row>
    <row r="334" spans="1:17" ht="10.5">
      <c r="A334" s="228"/>
      <c r="B334" s="228"/>
      <c r="C334" s="228"/>
      <c r="D334" s="297"/>
      <c r="E334" s="51">
        <f t="shared" si="62"/>
        <v>0</v>
      </c>
      <c r="F334" s="51">
        <f t="shared" si="62"/>
        <v>0</v>
      </c>
      <c r="G334" s="51">
        <f t="shared" si="62"/>
        <v>0</v>
      </c>
      <c r="H334" s="51">
        <f t="shared" si="62"/>
        <v>0</v>
      </c>
      <c r="I334" s="51">
        <f t="shared" si="62"/>
        <v>0</v>
      </c>
      <c r="J334" s="51">
        <f t="shared" si="62"/>
        <v>0</v>
      </c>
      <c r="K334" s="51">
        <f t="shared" si="65"/>
        <v>0</v>
      </c>
      <c r="L334" s="51">
        <f t="shared" si="65"/>
        <v>0</v>
      </c>
      <c r="M334" s="51">
        <f t="shared" si="65"/>
        <v>0</v>
      </c>
      <c r="N334" s="51">
        <f t="shared" si="65"/>
        <v>0</v>
      </c>
      <c r="O334" s="51">
        <f t="shared" si="65"/>
        <v>0</v>
      </c>
      <c r="P334" s="51">
        <f t="shared" si="65"/>
        <v>0</v>
      </c>
      <c r="Q334" s="51">
        <f t="shared" si="65"/>
        <v>0</v>
      </c>
    </row>
    <row r="335" spans="4:17" s="228" customFormat="1" ht="10.5">
      <c r="D335" s="297" t="s">
        <v>180</v>
      </c>
      <c r="E335" s="228">
        <f ca="1">IF(GE_COUNT_3&gt;0,SUM(E323:OFFSET(E323,GE_COUNT_3-1,0)),0)</f>
        <v>0</v>
      </c>
      <c r="F335" s="228">
        <f ca="1">IF(GE_COUNT_3&gt;0,SUM(F323:OFFSET(F323,GE_COUNT_3-1,0)),0)</f>
        <v>0</v>
      </c>
      <c r="G335" s="228">
        <f ca="1">IF(GE_COUNT_3&gt;0,SUM(G323:OFFSET(G323,GE_COUNT_3-1,0)),0)</f>
        <v>0</v>
      </c>
      <c r="H335" s="228">
        <f ca="1">IF(GE_COUNT_3&gt;0,SUM(H323:OFFSET(H323,GE_COUNT_3-1,0)),0)</f>
        <v>0</v>
      </c>
      <c r="I335" s="228">
        <f ca="1">IF(GE_COUNT_3&gt;0,SUM(I323:OFFSET(I323,GE_COUNT_3-1,0)),0)</f>
        <v>0</v>
      </c>
      <c r="J335" s="228">
        <f ca="1">IF(GE_COUNT_3&gt;0,SUM(J323:OFFSET(J323,GE_COUNT_3-1,0)),0)</f>
        <v>0</v>
      </c>
      <c r="K335" s="228">
        <f ca="1">IF(GE_COUNT_3&gt;0,SUM(K323:OFFSET(K323,GE_COUNT_3-1,0)),0)</f>
        <v>0</v>
      </c>
      <c r="L335" s="228">
        <f ca="1">IF(GE_COUNT_3&gt;0,SUM(L323:OFFSET(L323,GE_COUNT_3-1,0)),0)</f>
        <v>0</v>
      </c>
      <c r="M335" s="228">
        <f ca="1">IF(GE_COUNT_3&gt;0,SUM(M323:OFFSET(M323,GE_COUNT_3-1,0)),0)</f>
        <v>0</v>
      </c>
      <c r="N335" s="228">
        <f ca="1">IF(GE_COUNT_3&gt;0,SUM(N323:OFFSET(N323,GE_COUNT_3-1,0)),0)</f>
        <v>0</v>
      </c>
      <c r="O335" s="228">
        <f ca="1">IF(GE_COUNT_3&gt;0,SUM(O323:OFFSET(O323,GE_COUNT_3-1,0)),0)</f>
        <v>0</v>
      </c>
      <c r="P335" s="228">
        <f ca="1">IF(GE_COUNT_3&gt;0,SUM(P323:OFFSET(P323,GE_COUNT_3-1,0)),0)</f>
        <v>0</v>
      </c>
      <c r="Q335" s="228">
        <f ca="1">IF(GE_COUNT_3&gt;0,SUM(Q323:OFFSET(Q323,GE_COUNT_3-1,0)),0)</f>
        <v>0</v>
      </c>
    </row>
    <row r="337" spans="1:17" s="228" customFormat="1" ht="10.5">
      <c r="A337" s="228" t="s">
        <v>182</v>
      </c>
      <c r="D337" s="297"/>
      <c r="E337" s="228">
        <f aca="true" t="shared" si="66" ref="E337:J337">SUM(E338:E340)</f>
        <v>0</v>
      </c>
      <c r="F337" s="228">
        <f t="shared" si="66"/>
        <v>0</v>
      </c>
      <c r="G337" s="228">
        <f t="shared" si="66"/>
        <v>0</v>
      </c>
      <c r="H337" s="228">
        <f t="shared" si="66"/>
        <v>0</v>
      </c>
      <c r="I337" s="228">
        <f t="shared" si="66"/>
        <v>0</v>
      </c>
      <c r="J337" s="228">
        <f t="shared" si="66"/>
        <v>0</v>
      </c>
      <c r="K337" s="228">
        <f aca="true" t="shared" si="67" ref="K337:Q337">SUM(K338:K340)</f>
        <v>0</v>
      </c>
      <c r="L337" s="228">
        <f t="shared" si="67"/>
        <v>0</v>
      </c>
      <c r="M337" s="228">
        <f t="shared" si="67"/>
        <v>0</v>
      </c>
      <c r="N337" s="228">
        <f t="shared" si="67"/>
        <v>0</v>
      </c>
      <c r="O337" s="228">
        <f t="shared" si="67"/>
        <v>0</v>
      </c>
      <c r="P337" s="228">
        <f t="shared" si="67"/>
        <v>0</v>
      </c>
      <c r="Q337" s="228">
        <f t="shared" si="67"/>
        <v>0</v>
      </c>
    </row>
    <row r="338" spans="1:17" ht="10.5">
      <c r="A338" s="228" t="s">
        <v>183</v>
      </c>
      <c r="B338" s="228"/>
      <c r="C338" s="228"/>
      <c r="D338" s="297"/>
      <c r="E338" s="51">
        <f ca="1">IF(GE_COUNT_1&gt;0,SUMIF($B$266:OFFSET($B$266,GE_COUNT_1-1,0),"&gt;0",E$266:OFFSET(E$266,GE_COUNT_1-1,0)),0)</f>
        <v>0</v>
      </c>
      <c r="F338" s="51">
        <f ca="1">IF(GE_COUNT_1&gt;0,SUMIF($B$266:OFFSET($B$266,GE_COUNT_1-1,0),"&gt;0",F$266:OFFSET(F$266,GE_COUNT_1-1,0)),0)</f>
        <v>0</v>
      </c>
      <c r="G338" s="51">
        <f ca="1">IF(GE_COUNT_1&gt;0,SUMIF($B$266:OFFSET($B$266,GE_COUNT_1-1,0),"&gt;0",G$266:OFFSET(G$266,GE_COUNT_1-1,0)),0)</f>
        <v>0</v>
      </c>
      <c r="H338" s="51">
        <f ca="1">IF(GE_COUNT_1&gt;0,SUMIF($B$266:OFFSET($B$266,GE_COUNT_1-1,0),"&gt;0",H$266:OFFSET(H$266,GE_COUNT_1-1,0)),0)</f>
        <v>0</v>
      </c>
      <c r="I338" s="51">
        <f ca="1">IF(GE_COUNT_1&gt;0,SUMIF($B$266:OFFSET($B$266,GE_COUNT_1-1,0),"&gt;0",I$266:OFFSET(I$266,GE_COUNT_1-1,0)),0)</f>
        <v>0</v>
      </c>
      <c r="J338" s="51">
        <f ca="1">IF(GE_COUNT_1&gt;0,SUMIF($B$266:OFFSET($B$266,GE_COUNT_1-1,0),"&gt;0",J$266:OFFSET(J$266,GE_COUNT_1-1,0)),0)</f>
        <v>0</v>
      </c>
      <c r="K338" s="51">
        <f ca="1">IF(GE_COUNT_1&gt;0,SUMIF($B$266:OFFSET($B$266,GE_COUNT_1-1,0),"&gt;0",K$266:OFFSET(K$266,GE_COUNT_1-1,0)),0)</f>
        <v>0</v>
      </c>
      <c r="L338" s="51">
        <f ca="1">IF(GE_COUNT_1&gt;0,SUMIF($B$266:OFFSET($B$266,GE_COUNT_1-1,0),"&gt;0",L$266:OFFSET(L$266,GE_COUNT_1-1,0)),0)</f>
        <v>0</v>
      </c>
      <c r="M338" s="51">
        <f ca="1">IF(GE_COUNT_1&gt;0,SUMIF($B$266:OFFSET($B$266,GE_COUNT_1-1,0),"&gt;0",M$266:OFFSET(M$266,GE_COUNT_1-1,0)),0)</f>
        <v>0</v>
      </c>
      <c r="N338" s="51">
        <f ca="1">IF(GE_COUNT_1&gt;0,SUMIF($B$266:OFFSET($B$266,GE_COUNT_1-1,0),"&gt;0",N$266:OFFSET(N$266,GE_COUNT_1-1,0)),0)</f>
        <v>0</v>
      </c>
      <c r="O338" s="51">
        <f ca="1">IF(GE_COUNT_1&gt;0,SUMIF($B$266:OFFSET($B$266,GE_COUNT_1-1,0),"&gt;0",O$266:OFFSET(O$266,GE_COUNT_1-1,0)),0)</f>
        <v>0</v>
      </c>
      <c r="P338" s="51">
        <f ca="1">IF(GE_COUNT_1&gt;0,SUMIF($B$266:OFFSET($B$266,GE_COUNT_1-1,0),"&gt;0",P$266:OFFSET(P$266,GE_COUNT_1-1,0)),0)</f>
        <v>0</v>
      </c>
      <c r="Q338" s="51">
        <f ca="1">IF(GE_COUNT_1&gt;0,SUMIF($B$266:OFFSET($B$266,GE_COUNT_1-1,0),"&gt;0",Q$266:OFFSET(Q$266,GE_COUNT_1-1,0)),0)</f>
        <v>0</v>
      </c>
    </row>
    <row r="339" spans="1:17" ht="10.5">
      <c r="A339" s="228" t="s">
        <v>184</v>
      </c>
      <c r="B339" s="228"/>
      <c r="C339" s="228"/>
      <c r="D339" s="297"/>
      <c r="E339" s="51">
        <f ca="1">IF(GE_COUNT_2&gt;0,SUMIF($B$277:OFFSET($B$277,GE_COUNT_2-1,0),"&gt;0",E$277:OFFSET(E$277,GE_COUNT_2-1,0)),0)</f>
        <v>0</v>
      </c>
      <c r="F339" s="51">
        <f ca="1">IF(GE_COUNT_2&gt;0,SUMIF($B$277:OFFSET($B$277,GE_COUNT_2-1,0),"&gt;0",F$277:OFFSET(F$277,GE_COUNT_2-1,0)),0)</f>
        <v>0</v>
      </c>
      <c r="G339" s="51">
        <f ca="1">IF(GE_COUNT_2&gt;0,SUMIF($B$277:OFFSET($B$277,GE_COUNT_2-1,0),"&gt;0",G$277:OFFSET(G$277,GE_COUNT_2-1,0)),0)</f>
        <v>0</v>
      </c>
      <c r="H339" s="51">
        <f ca="1">IF(GE_COUNT_2&gt;0,SUMIF($B$277:OFFSET($B$277,GE_COUNT_2-1,0),"&gt;0",H$277:OFFSET(H$277,GE_COUNT_2-1,0)),0)</f>
        <v>0</v>
      </c>
      <c r="I339" s="51">
        <f ca="1">IF(GE_COUNT_2&gt;0,SUMIF($B$277:OFFSET($B$277,GE_COUNT_2-1,0),"&gt;0",I$277:OFFSET(I$277,GE_COUNT_2-1,0)),0)</f>
        <v>0</v>
      </c>
      <c r="J339" s="51">
        <f ca="1">IF(GE_COUNT_2&gt;0,SUMIF($B$277:OFFSET($B$277,GE_COUNT_2-1,0),"&gt;0",J$277:OFFSET(J$277,GE_COUNT_2-1,0)),0)</f>
        <v>0</v>
      </c>
      <c r="K339" s="51">
        <f ca="1">IF(GE_COUNT_2&gt;0,SUMIF($B$277:OFFSET($B$277,GE_COUNT_2-1,0),"&gt;0",K$277:OFFSET(K$277,GE_COUNT_2-1,0)),0)</f>
        <v>0</v>
      </c>
      <c r="L339" s="51">
        <f ca="1">IF(GE_COUNT_2&gt;0,SUMIF($B$277:OFFSET($B$277,GE_COUNT_2-1,0),"&gt;0",L$277:OFFSET(L$277,GE_COUNT_2-1,0)),0)</f>
        <v>0</v>
      </c>
      <c r="M339" s="51">
        <f ca="1">IF(GE_COUNT_2&gt;0,SUMIF($B$277:OFFSET($B$277,GE_COUNT_2-1,0),"&gt;0",M$277:OFFSET(M$277,GE_COUNT_2-1,0)),0)</f>
        <v>0</v>
      </c>
      <c r="N339" s="51">
        <f ca="1">IF(GE_COUNT_2&gt;0,SUMIF($B$277:OFFSET($B$277,GE_COUNT_2-1,0),"&gt;0",N$277:OFFSET(N$277,GE_COUNT_2-1,0)),0)</f>
        <v>0</v>
      </c>
      <c r="O339" s="51">
        <f ca="1">IF(GE_COUNT_2&gt;0,SUMIF($B$277:OFFSET($B$277,GE_COUNT_2-1,0),"&gt;0",O$277:OFFSET(O$277,GE_COUNT_2-1,0)),0)</f>
        <v>0</v>
      </c>
      <c r="P339" s="51">
        <f ca="1">IF(GE_COUNT_2&gt;0,SUMIF($B$277:OFFSET($B$277,GE_COUNT_2-1,0),"&gt;0",P$277:OFFSET(P$277,GE_COUNT_2-1,0)),0)</f>
        <v>0</v>
      </c>
      <c r="Q339" s="51">
        <f ca="1">IF(GE_COUNT_2&gt;0,SUMIF($B$277:OFFSET($B$277,GE_COUNT_2-1,0),"&gt;0",Q$277:OFFSET(Q$277,GE_COUNT_2-1,0)),0)</f>
        <v>0</v>
      </c>
    </row>
    <row r="340" spans="1:17" s="301" customFormat="1" ht="10.5">
      <c r="A340" s="306" t="s">
        <v>185</v>
      </c>
      <c r="B340" s="306"/>
      <c r="C340" s="306"/>
      <c r="D340" s="307"/>
      <c r="E340" s="301">
        <f ca="1">IF(GE_COUNT_3&gt;0,SUMIF($B$287:OFFSET($B$287,GE_COUNT_3-1,0),"&gt;0",E$287:OFFSET(E$287,GE_COUNT_3-1,0)),0)</f>
        <v>0</v>
      </c>
      <c r="F340" s="301">
        <f ca="1">IF(GE_COUNT_3&gt;0,SUMIF($B$287:OFFSET($B$287,GE_COUNT_3-1,0),"&gt;0",F$287:OFFSET(F$287,GE_COUNT_3-1,0)),0)</f>
        <v>0</v>
      </c>
      <c r="G340" s="301">
        <f ca="1">IF(GE_COUNT_3&gt;0,SUMIF($B$287:OFFSET($B$287,GE_COUNT_3-1,0),"&gt;0",G$287:OFFSET(G$287,GE_COUNT_3-1,0)),0)</f>
        <v>0</v>
      </c>
      <c r="H340" s="301">
        <f ca="1">IF(GE_COUNT_3&gt;0,SUMIF($B$287:OFFSET($B$287,GE_COUNT_3-1,0),"&gt;0",H$287:OFFSET(H$287,GE_COUNT_3-1,0)),0)</f>
        <v>0</v>
      </c>
      <c r="I340" s="301">
        <f ca="1">IF(GE_COUNT_3&gt;0,SUMIF($B$287:OFFSET($B$287,GE_COUNT_3-1,0),"&gt;0",I$287:OFFSET(I$287,GE_COUNT_3-1,0)),0)</f>
        <v>0</v>
      </c>
      <c r="J340" s="301">
        <f ca="1">IF(GE_COUNT_3&gt;0,SUMIF($B$287:OFFSET($B$287,GE_COUNT_3-1,0),"&gt;0",J$287:OFFSET(J$287,GE_COUNT_3-1,0)),0)</f>
        <v>0</v>
      </c>
      <c r="K340" s="301">
        <f ca="1">IF(GE_COUNT_3&gt;0,SUMIF($B$287:OFFSET($B$287,GE_COUNT_3-1,0),"&gt;0",K$287:OFFSET(K$287,GE_COUNT_3-1,0)),0)</f>
        <v>0</v>
      </c>
      <c r="L340" s="301">
        <f ca="1">IF(GE_COUNT_3&gt;0,SUMIF($B$287:OFFSET($B$287,GE_COUNT_3-1,0),"&gt;0",L$287:OFFSET(L$287,GE_COUNT_3-1,0)),0)</f>
        <v>0</v>
      </c>
      <c r="M340" s="301">
        <f ca="1">IF(GE_COUNT_3&gt;0,SUMIF($B$287:OFFSET($B$287,GE_COUNT_3-1,0),"&gt;0",M$287:OFFSET(M$287,GE_COUNT_3-1,0)),0)</f>
        <v>0</v>
      </c>
      <c r="N340" s="301">
        <f ca="1">IF(GE_COUNT_3&gt;0,SUMIF($B$287:OFFSET($B$287,GE_COUNT_3-1,0),"&gt;0",N$287:OFFSET(N$287,GE_COUNT_3-1,0)),0)</f>
        <v>0</v>
      </c>
      <c r="O340" s="301">
        <f ca="1">IF(GE_COUNT_3&gt;0,SUMIF($B$287:OFFSET($B$287,GE_COUNT_3-1,0),"&gt;0",O$287:OFFSET(O$287,GE_COUNT_3-1,0)),0)</f>
        <v>0</v>
      </c>
      <c r="P340" s="301">
        <f ca="1">IF(GE_COUNT_3&gt;0,SUMIF($B$287:OFFSET($B$287,GE_COUNT_3-1,0),"&gt;0",P$287:OFFSET(P$287,GE_COUNT_3-1,0)),0)</f>
        <v>0</v>
      </c>
      <c r="Q340" s="301">
        <f ca="1">IF(GE_COUNT_3&gt;0,SUMIF($B$287:OFFSET($B$287,GE_COUNT_3-1,0),"&gt;0",Q$287:OFFSET(Q$287,GE_COUNT_3-1,0)),0)</f>
        <v>0</v>
      </c>
    </row>
    <row r="342" spans="1:5" s="298" customFormat="1" ht="10.5">
      <c r="A342" s="298" t="s">
        <v>188</v>
      </c>
      <c r="D342" s="299"/>
      <c r="E342" s="298" t="s">
        <v>189</v>
      </c>
    </row>
    <row r="343" spans="1:17" ht="10.5">
      <c r="A343" s="228"/>
      <c r="B343" s="228"/>
      <c r="C343" s="228"/>
      <c r="D343" s="297"/>
      <c r="E343" s="51">
        <f>Данные!$B202*Данные!C202</f>
        <v>0</v>
      </c>
      <c r="F343" s="51">
        <f>Данные!$B202*IF(Данные!$D202="…",Данные!$C202,Данные!D202)</f>
        <v>0</v>
      </c>
      <c r="G343" s="51">
        <f>Данные!$B202*IF(Данные!$D202="…",Данные!$C202,Данные!E202)</f>
        <v>40000</v>
      </c>
      <c r="H343" s="51">
        <f>Данные!$B202*IF(Данные!$D202="…",Данные!$C202,Данные!F202)</f>
        <v>40000</v>
      </c>
      <c r="I343" s="51">
        <f>Данные!$B202*IF(Данные!$D202="…",Данные!$C202,Данные!G202)</f>
        <v>40000</v>
      </c>
      <c r="J343" s="51">
        <f>Данные!$B202*IF(Данные!$D202="…",Данные!$C202,Данные!H202)</f>
        <v>40000</v>
      </c>
      <c r="K343" s="51">
        <f>Данные!$B202*IF(Данные!$D202="…",Данные!$C202,Данные!I202)</f>
        <v>40000</v>
      </c>
      <c r="L343" s="51">
        <f>Данные!$B202*IF(Данные!$D202="…",Данные!$C202,Данные!J202)</f>
        <v>40000</v>
      </c>
      <c r="M343" s="51">
        <f>Данные!$B202*IF(Данные!$D202="…",Данные!$C202,Данные!K202)</f>
        <v>40000</v>
      </c>
      <c r="N343" s="51">
        <f>Данные!$B202*IF(Данные!$D202="…",Данные!$C202,Данные!L202)</f>
        <v>40000</v>
      </c>
      <c r="O343" s="51">
        <f>Данные!$B202*IF(Данные!$D202="…",Данные!$C202,Данные!M202)</f>
        <v>40000</v>
      </c>
      <c r="P343" s="51">
        <f>Данные!$B202*IF(Данные!$D202="…",Данные!$C202,Данные!N202)</f>
        <v>40000</v>
      </c>
      <c r="Q343" s="51">
        <f>Данные!$B202*IF(Данные!$D202="…",Данные!$C202,Данные!O202)</f>
        <v>40000</v>
      </c>
    </row>
    <row r="344" spans="1:17" ht="10.5">
      <c r="A344" s="228"/>
      <c r="B344" s="228"/>
      <c r="C344" s="228"/>
      <c r="D344" s="297"/>
      <c r="E344" s="51">
        <f>Данные!$B203*Данные!C203</f>
        <v>0</v>
      </c>
      <c r="F344" s="51">
        <f>Данные!$B203*IF(Данные!$D203="…",Данные!$C203,Данные!D203)</f>
        <v>30000</v>
      </c>
      <c r="G344" s="51">
        <f>Данные!$B203*IF(Данные!$D203="…",Данные!$C203,Данные!E203)</f>
        <v>30000</v>
      </c>
      <c r="H344" s="51">
        <f>Данные!$B203*IF(Данные!$D203="…",Данные!$C203,Данные!F203)</f>
        <v>30000</v>
      </c>
      <c r="I344" s="51">
        <f>Данные!$B203*IF(Данные!$D203="…",Данные!$C203,Данные!G203)</f>
        <v>30000</v>
      </c>
      <c r="J344" s="51">
        <f>Данные!$B203*IF(Данные!$D203="…",Данные!$C203,Данные!H203)</f>
        <v>30000</v>
      </c>
      <c r="K344" s="51">
        <f>Данные!$B203*IF(Данные!$D203="…",Данные!$C203,Данные!I203)</f>
        <v>30000</v>
      </c>
      <c r="L344" s="51">
        <f>Данные!$B203*IF(Данные!$D203="…",Данные!$C203,Данные!J203)</f>
        <v>30000</v>
      </c>
      <c r="M344" s="51">
        <f>Данные!$B203*IF(Данные!$D203="…",Данные!$C203,Данные!K203)</f>
        <v>30000</v>
      </c>
      <c r="N344" s="51">
        <f>Данные!$B203*IF(Данные!$D203="…",Данные!$C203,Данные!L203)</f>
        <v>30000</v>
      </c>
      <c r="O344" s="51">
        <f>Данные!$B203*IF(Данные!$D203="…",Данные!$C203,Данные!M203)</f>
        <v>30000</v>
      </c>
      <c r="P344" s="51">
        <f>Данные!$B203*IF(Данные!$D203="…",Данные!$C203,Данные!N203)</f>
        <v>30000</v>
      </c>
      <c r="Q344" s="51">
        <f>Данные!$B203*IF(Данные!$D203="…",Данные!$C203,Данные!O203)</f>
        <v>30000</v>
      </c>
    </row>
    <row r="345" spans="1:17" ht="10.5">
      <c r="A345" s="228"/>
      <c r="B345" s="228"/>
      <c r="C345" s="228"/>
      <c r="D345" s="297"/>
      <c r="E345" s="51">
        <f>Данные!$B204*Данные!C204</f>
        <v>0</v>
      </c>
      <c r="F345" s="51">
        <f>Данные!$B204*IF(Данные!$D204="…",Данные!$C204,Данные!D204)</f>
        <v>0</v>
      </c>
      <c r="G345" s="51">
        <f>Данные!$B204*IF(Данные!$D204="…",Данные!$C204,Данные!E204)</f>
        <v>20000</v>
      </c>
      <c r="H345" s="51">
        <f>Данные!$B204*IF(Данные!$D204="…",Данные!$C204,Данные!F204)</f>
        <v>20000</v>
      </c>
      <c r="I345" s="51">
        <f>Данные!$B204*IF(Данные!$D204="…",Данные!$C204,Данные!G204)</f>
        <v>20000</v>
      </c>
      <c r="J345" s="51">
        <f>Данные!$B204*IF(Данные!$D204="…",Данные!$C204,Данные!H204)</f>
        <v>20000</v>
      </c>
      <c r="K345" s="51">
        <f>Данные!$B204*IF(Данные!$D204="…",Данные!$C204,Данные!I204)</f>
        <v>20000</v>
      </c>
      <c r="L345" s="51">
        <f>Данные!$B204*IF(Данные!$D204="…",Данные!$C204,Данные!J204)</f>
        <v>20000</v>
      </c>
      <c r="M345" s="51">
        <f>Данные!$B204*IF(Данные!$D204="…",Данные!$C204,Данные!K204)</f>
        <v>20000</v>
      </c>
      <c r="N345" s="51">
        <f>Данные!$B204*IF(Данные!$D204="…",Данные!$C204,Данные!L204)</f>
        <v>20000</v>
      </c>
      <c r="O345" s="51">
        <f>Данные!$B204*IF(Данные!$D204="…",Данные!$C204,Данные!M204)</f>
        <v>20000</v>
      </c>
      <c r="P345" s="51">
        <f>Данные!$B204*IF(Данные!$D204="…",Данные!$C204,Данные!N204)</f>
        <v>20000</v>
      </c>
      <c r="Q345" s="51">
        <f>Данные!$B204*IF(Данные!$D204="…",Данные!$C204,Данные!O204)</f>
        <v>20000</v>
      </c>
    </row>
    <row r="346" spans="1:17" ht="10.5">
      <c r="A346" s="228"/>
      <c r="B346" s="228"/>
      <c r="C346" s="228"/>
      <c r="D346" s="297"/>
      <c r="E346" s="51">
        <f>Данные!$B205*Данные!C205</f>
        <v>0</v>
      </c>
      <c r="F346" s="51">
        <f>Данные!$B205*IF(Данные!$D205="…",Данные!$C205,Данные!D205)</f>
        <v>0</v>
      </c>
      <c r="G346" s="51">
        <f>Данные!$B205*IF(Данные!$D205="…",Данные!$C205,Данные!E205)</f>
        <v>60000</v>
      </c>
      <c r="H346" s="51">
        <f>Данные!$B205*IF(Данные!$D205="…",Данные!$C205,Данные!F205)</f>
        <v>60000</v>
      </c>
      <c r="I346" s="51">
        <f>Данные!$B205*IF(Данные!$D205="…",Данные!$C205,Данные!G205)</f>
        <v>60000</v>
      </c>
      <c r="J346" s="51">
        <f>Данные!$B205*IF(Данные!$D205="…",Данные!$C205,Данные!H205)</f>
        <v>60000</v>
      </c>
      <c r="K346" s="51">
        <f>Данные!$B205*IF(Данные!$D205="…",Данные!$C205,Данные!I205)</f>
        <v>60000</v>
      </c>
      <c r="L346" s="51">
        <f>Данные!$B205*IF(Данные!$D205="…",Данные!$C205,Данные!J205)</f>
        <v>60000</v>
      </c>
      <c r="M346" s="51">
        <f>Данные!$B205*IF(Данные!$D205="…",Данные!$C205,Данные!K205)</f>
        <v>60000</v>
      </c>
      <c r="N346" s="51">
        <f>Данные!$B205*IF(Данные!$D205="…",Данные!$C205,Данные!L205)</f>
        <v>60000</v>
      </c>
      <c r="O346" s="51">
        <f>Данные!$B205*IF(Данные!$D205="…",Данные!$C205,Данные!M205)</f>
        <v>60000</v>
      </c>
      <c r="P346" s="51">
        <f>Данные!$B205*IF(Данные!$D205="…",Данные!$C205,Данные!N205)</f>
        <v>60000</v>
      </c>
      <c r="Q346" s="51">
        <f>Данные!$B205*IF(Данные!$D205="…",Данные!$C205,Данные!O205)</f>
        <v>60000</v>
      </c>
    </row>
    <row r="347" spans="1:17" ht="10.5">
      <c r="A347" s="228"/>
      <c r="B347" s="228"/>
      <c r="C347" s="228"/>
      <c r="D347" s="297"/>
      <c r="E347" s="51">
        <f>Данные!$B206*Данные!C206</f>
        <v>0</v>
      </c>
      <c r="F347" s="51">
        <f>Данные!$B206*IF(Данные!$D206="…",Данные!$C206,Данные!D206)</f>
        <v>0</v>
      </c>
      <c r="G347" s="51">
        <f>Данные!$B206*IF(Данные!$D206="…",Данные!$C206,Данные!E206)</f>
        <v>60000</v>
      </c>
      <c r="H347" s="51">
        <f>Данные!$B206*IF(Данные!$D206="…",Данные!$C206,Данные!F206)</f>
        <v>60000</v>
      </c>
      <c r="I347" s="51">
        <f>Данные!$B206*IF(Данные!$D206="…",Данные!$C206,Данные!G206)</f>
        <v>60000</v>
      </c>
      <c r="J347" s="51">
        <f>Данные!$B206*IF(Данные!$D206="…",Данные!$C206,Данные!H206)</f>
        <v>60000</v>
      </c>
      <c r="K347" s="51">
        <f>Данные!$B206*IF(Данные!$D206="…",Данные!$C206,Данные!I206)</f>
        <v>60000</v>
      </c>
      <c r="L347" s="51">
        <f>Данные!$B206*IF(Данные!$D206="…",Данные!$C206,Данные!J206)</f>
        <v>60000</v>
      </c>
      <c r="M347" s="51">
        <f>Данные!$B206*IF(Данные!$D206="…",Данные!$C206,Данные!K206)</f>
        <v>60000</v>
      </c>
      <c r="N347" s="51">
        <f>Данные!$B206*IF(Данные!$D206="…",Данные!$C206,Данные!L206)</f>
        <v>60000</v>
      </c>
      <c r="O347" s="51">
        <f>Данные!$B206*IF(Данные!$D206="…",Данные!$C206,Данные!M206)</f>
        <v>60000</v>
      </c>
      <c r="P347" s="51">
        <f>Данные!$B206*IF(Данные!$D206="…",Данные!$C206,Данные!N206)</f>
        <v>60000</v>
      </c>
      <c r="Q347" s="51">
        <f>Данные!$B206*IF(Данные!$D206="…",Данные!$C206,Данные!O206)</f>
        <v>60000</v>
      </c>
    </row>
    <row r="348" spans="1:17" ht="10.5">
      <c r="A348" s="228"/>
      <c r="B348" s="228"/>
      <c r="C348" s="228"/>
      <c r="D348" s="297"/>
      <c r="E348" s="51">
        <f>Данные!$B207*Данные!C207</f>
        <v>0</v>
      </c>
      <c r="F348" s="51">
        <f>Данные!$B207*IF(Данные!$D207="…",Данные!$C207,Данные!D207)</f>
        <v>40000</v>
      </c>
      <c r="G348" s="51">
        <f>Данные!$B207*IF(Данные!$D207="…",Данные!$C207,Данные!E207)</f>
        <v>40000</v>
      </c>
      <c r="H348" s="51">
        <f>Данные!$B207*IF(Данные!$D207="…",Данные!$C207,Данные!F207)</f>
        <v>40000</v>
      </c>
      <c r="I348" s="51">
        <f>Данные!$B207*IF(Данные!$D207="…",Данные!$C207,Данные!G207)</f>
        <v>40000</v>
      </c>
      <c r="J348" s="51">
        <f>Данные!$B207*IF(Данные!$D207="…",Данные!$C207,Данные!H207)</f>
        <v>40000</v>
      </c>
      <c r="K348" s="51">
        <f>Данные!$B207*IF(Данные!$D207="…",Данные!$C207,Данные!I207)</f>
        <v>40000</v>
      </c>
      <c r="L348" s="51">
        <f>Данные!$B207*IF(Данные!$D207="…",Данные!$C207,Данные!J207)</f>
        <v>40000</v>
      </c>
      <c r="M348" s="51">
        <f>Данные!$B207*IF(Данные!$D207="…",Данные!$C207,Данные!K207)</f>
        <v>40000</v>
      </c>
      <c r="N348" s="51">
        <f>Данные!$B207*IF(Данные!$D207="…",Данные!$C207,Данные!L207)</f>
        <v>40000</v>
      </c>
      <c r="O348" s="51">
        <f>Данные!$B207*IF(Данные!$D207="…",Данные!$C207,Данные!M207)</f>
        <v>40000</v>
      </c>
      <c r="P348" s="51">
        <f>Данные!$B207*IF(Данные!$D207="…",Данные!$C207,Данные!N207)</f>
        <v>40000</v>
      </c>
      <c r="Q348" s="51">
        <f>Данные!$B207*IF(Данные!$D207="…",Данные!$C207,Данные!O207)</f>
        <v>40000</v>
      </c>
    </row>
    <row r="349" spans="1:17" ht="10.5">
      <c r="A349" s="228"/>
      <c r="B349" s="228"/>
      <c r="C349" s="228"/>
      <c r="D349" s="297"/>
      <c r="E349" s="51">
        <f>Данные!$B208*Данные!C208</f>
        <v>0</v>
      </c>
      <c r="F349" s="51">
        <f>Данные!$B208*IF(Данные!$D208="…",Данные!$C208,Данные!D208)</f>
        <v>20000</v>
      </c>
      <c r="G349" s="51">
        <f>Данные!$B208*IF(Данные!$D208="…",Данные!$C208,Данные!E208)</f>
        <v>20000</v>
      </c>
      <c r="H349" s="51">
        <f>Данные!$B208*IF(Данные!$D208="…",Данные!$C208,Данные!F208)</f>
        <v>20000</v>
      </c>
      <c r="I349" s="51">
        <f>Данные!$B208*IF(Данные!$D208="…",Данные!$C208,Данные!G208)</f>
        <v>20000</v>
      </c>
      <c r="J349" s="51">
        <f>Данные!$B208*IF(Данные!$D208="…",Данные!$C208,Данные!H208)</f>
        <v>20000</v>
      </c>
      <c r="K349" s="51">
        <f>Данные!$B208*IF(Данные!$D208="…",Данные!$C208,Данные!I208)</f>
        <v>20000</v>
      </c>
      <c r="L349" s="51">
        <f>Данные!$B208*IF(Данные!$D208="…",Данные!$C208,Данные!J208)</f>
        <v>20000</v>
      </c>
      <c r="M349" s="51">
        <f>Данные!$B208*IF(Данные!$D208="…",Данные!$C208,Данные!K208)</f>
        <v>20000</v>
      </c>
      <c r="N349" s="51">
        <f>Данные!$B208*IF(Данные!$D208="…",Данные!$C208,Данные!L208)</f>
        <v>20000</v>
      </c>
      <c r="O349" s="51">
        <f>Данные!$B208*IF(Данные!$D208="…",Данные!$C208,Данные!M208)</f>
        <v>20000</v>
      </c>
      <c r="P349" s="51">
        <f>Данные!$B208*IF(Данные!$D208="…",Данные!$C208,Данные!N208)</f>
        <v>20000</v>
      </c>
      <c r="Q349" s="51">
        <f>Данные!$B208*IF(Данные!$D208="…",Данные!$C208,Данные!O208)</f>
        <v>20000</v>
      </c>
    </row>
    <row r="350" spans="1:17" ht="10.5">
      <c r="A350" s="228"/>
      <c r="B350" s="228"/>
      <c r="C350" s="228"/>
      <c r="D350" s="297"/>
      <c r="E350" s="51">
        <f>Данные!$B209*Данные!C209</f>
        <v>0</v>
      </c>
      <c r="F350" s="51">
        <f>Данные!$B209*IF(Данные!$D209="…",Данные!$C209,Данные!D209)</f>
        <v>30000</v>
      </c>
      <c r="G350" s="51">
        <f>Данные!$B209*IF(Данные!$D209="…",Данные!$C209,Данные!E209)</f>
        <v>30000</v>
      </c>
      <c r="H350" s="51">
        <f>Данные!$B209*IF(Данные!$D209="…",Данные!$C209,Данные!F209)</f>
        <v>30000</v>
      </c>
      <c r="I350" s="51">
        <f>Данные!$B209*IF(Данные!$D209="…",Данные!$C209,Данные!G209)</f>
        <v>30000</v>
      </c>
      <c r="J350" s="51">
        <f>Данные!$B209*IF(Данные!$D209="…",Данные!$C209,Данные!H209)</f>
        <v>30000</v>
      </c>
      <c r="K350" s="51">
        <f>Данные!$B209*IF(Данные!$D209="…",Данные!$C209,Данные!I209)</f>
        <v>30000</v>
      </c>
      <c r="L350" s="51">
        <f>Данные!$B209*IF(Данные!$D209="…",Данные!$C209,Данные!J209)</f>
        <v>30000</v>
      </c>
      <c r="M350" s="51">
        <f>Данные!$B209*IF(Данные!$D209="…",Данные!$C209,Данные!K209)</f>
        <v>30000</v>
      </c>
      <c r="N350" s="51">
        <f>Данные!$B209*IF(Данные!$D209="…",Данные!$C209,Данные!L209)</f>
        <v>30000</v>
      </c>
      <c r="O350" s="51">
        <f>Данные!$B209*IF(Данные!$D209="…",Данные!$C209,Данные!M209)</f>
        <v>30000</v>
      </c>
      <c r="P350" s="51">
        <f>Данные!$B209*IF(Данные!$D209="…",Данные!$C209,Данные!N209)</f>
        <v>30000</v>
      </c>
      <c r="Q350" s="51">
        <f>Данные!$B209*IF(Данные!$D209="…",Данные!$C209,Данные!O209)</f>
        <v>30000</v>
      </c>
    </row>
    <row r="351" spans="1:17" ht="10.5">
      <c r="A351" s="228"/>
      <c r="B351" s="228"/>
      <c r="C351" s="228"/>
      <c r="D351" s="297"/>
      <c r="E351" s="51">
        <f>Данные!$B210*Данные!C210</f>
        <v>0</v>
      </c>
      <c r="F351" s="51">
        <f>Данные!$B210*IF(Данные!$D210="…",Данные!$C210,Данные!D210)</f>
        <v>20000</v>
      </c>
      <c r="G351" s="51">
        <f>Данные!$B210*IF(Данные!$D210="…",Данные!$C210,Данные!E210)</f>
        <v>20000</v>
      </c>
      <c r="H351" s="51">
        <f>Данные!$B210*IF(Данные!$D210="…",Данные!$C210,Данные!F210)</f>
        <v>20000</v>
      </c>
      <c r="I351" s="51">
        <f>Данные!$B210*IF(Данные!$D210="…",Данные!$C210,Данные!G210)</f>
        <v>20000</v>
      </c>
      <c r="J351" s="51">
        <f>Данные!$B210*IF(Данные!$D210="…",Данные!$C210,Данные!H210)</f>
        <v>20000</v>
      </c>
      <c r="K351" s="51">
        <f>Данные!$B210*IF(Данные!$D210="…",Данные!$C210,Данные!I210)</f>
        <v>20000</v>
      </c>
      <c r="L351" s="51">
        <f>Данные!$B210*IF(Данные!$D210="…",Данные!$C210,Данные!J210)</f>
        <v>20000</v>
      </c>
      <c r="M351" s="51">
        <f>Данные!$B210*IF(Данные!$D210="…",Данные!$C210,Данные!K210)</f>
        <v>20000</v>
      </c>
      <c r="N351" s="51">
        <f>Данные!$B210*IF(Данные!$D210="…",Данные!$C210,Данные!L210)</f>
        <v>20000</v>
      </c>
      <c r="O351" s="51">
        <f>Данные!$B210*IF(Данные!$D210="…",Данные!$C210,Данные!M210)</f>
        <v>20000</v>
      </c>
      <c r="P351" s="51">
        <f>Данные!$B210*IF(Данные!$D210="…",Данные!$C210,Данные!N210)</f>
        <v>20000</v>
      </c>
      <c r="Q351" s="51">
        <f>Данные!$B210*IF(Данные!$D210="…",Данные!$C210,Данные!O210)</f>
        <v>20000</v>
      </c>
    </row>
    <row r="352" spans="1:17" ht="10.5">
      <c r="A352" s="228"/>
      <c r="B352" s="228"/>
      <c r="C352" s="228"/>
      <c r="D352" s="297"/>
      <c r="E352" s="51">
        <f>Данные!$B211*Данные!C211</f>
        <v>0</v>
      </c>
      <c r="F352" s="51">
        <f>Данные!$B211*IF(Данные!$D211="…",Данные!$C211,Данные!D211)</f>
        <v>0</v>
      </c>
      <c r="G352" s="51">
        <f>Данные!$B211*IF(Данные!$D211="…",Данные!$C211,Данные!E211)</f>
        <v>20000</v>
      </c>
      <c r="H352" s="51">
        <f>Данные!$B211*IF(Данные!$D211="…",Данные!$C211,Данные!F211)</f>
        <v>20000</v>
      </c>
      <c r="I352" s="51">
        <f>Данные!$B211*IF(Данные!$D211="…",Данные!$C211,Данные!G211)</f>
        <v>20000</v>
      </c>
      <c r="J352" s="51">
        <f>Данные!$B211*IF(Данные!$D211="…",Данные!$C211,Данные!H211)</f>
        <v>20000</v>
      </c>
      <c r="K352" s="51">
        <f>Данные!$B211*IF(Данные!$D211="…",Данные!$C211,Данные!I211)</f>
        <v>20000</v>
      </c>
      <c r="L352" s="51">
        <f>Данные!$B211*IF(Данные!$D211="…",Данные!$C211,Данные!J211)</f>
        <v>20000</v>
      </c>
      <c r="M352" s="51">
        <f>Данные!$B211*IF(Данные!$D211="…",Данные!$C211,Данные!K211)</f>
        <v>20000</v>
      </c>
      <c r="N352" s="51">
        <f>Данные!$B211*IF(Данные!$D211="…",Данные!$C211,Данные!L211)</f>
        <v>20000</v>
      </c>
      <c r="O352" s="51">
        <f>Данные!$B211*IF(Данные!$D211="…",Данные!$C211,Данные!M211)</f>
        <v>20000</v>
      </c>
      <c r="P352" s="51">
        <f>Данные!$B211*IF(Данные!$D211="…",Данные!$C211,Данные!N211)</f>
        <v>20000</v>
      </c>
      <c r="Q352" s="51">
        <f>Данные!$B211*IF(Данные!$D211="…",Данные!$C211,Данные!O211)</f>
        <v>20000</v>
      </c>
    </row>
    <row r="353" spans="1:17" ht="10.5">
      <c r="A353" s="228"/>
      <c r="B353" s="228"/>
      <c r="C353" s="228"/>
      <c r="D353" s="297"/>
      <c r="E353" s="51">
        <f>Данные!$B212*Данные!C212</f>
        <v>0</v>
      </c>
      <c r="F353" s="51">
        <f>Данные!$B212*IF(Данные!$D212="…",Данные!$C212,Данные!D212)</f>
        <v>10000</v>
      </c>
      <c r="G353" s="51">
        <f>Данные!$B212*IF(Данные!$D212="…",Данные!$C212,Данные!E212)</f>
        <v>10000</v>
      </c>
      <c r="H353" s="51">
        <f>Данные!$B212*IF(Данные!$D212="…",Данные!$C212,Данные!F212)</f>
        <v>10000</v>
      </c>
      <c r="I353" s="51">
        <f>Данные!$B212*IF(Данные!$D212="…",Данные!$C212,Данные!G212)</f>
        <v>10000</v>
      </c>
      <c r="J353" s="51">
        <f>Данные!$B212*IF(Данные!$D212="…",Данные!$C212,Данные!H212)</f>
        <v>10000</v>
      </c>
      <c r="K353" s="51">
        <f>Данные!$B212*IF(Данные!$D212="…",Данные!$C212,Данные!I212)</f>
        <v>10000</v>
      </c>
      <c r="L353" s="51">
        <f>Данные!$B212*IF(Данные!$D212="…",Данные!$C212,Данные!J212)</f>
        <v>10000</v>
      </c>
      <c r="M353" s="51">
        <f>Данные!$B212*IF(Данные!$D212="…",Данные!$C212,Данные!K212)</f>
        <v>10000</v>
      </c>
      <c r="N353" s="51">
        <f>Данные!$B212*IF(Данные!$D212="…",Данные!$C212,Данные!L212)</f>
        <v>10000</v>
      </c>
      <c r="O353" s="51">
        <f>Данные!$B212*IF(Данные!$D212="…",Данные!$C212,Данные!M212)</f>
        <v>10000</v>
      </c>
      <c r="P353" s="51">
        <f>Данные!$B212*IF(Данные!$D212="…",Данные!$C212,Данные!N212)</f>
        <v>10000</v>
      </c>
      <c r="Q353" s="51">
        <f>Данные!$B212*IF(Данные!$D212="…",Данные!$C212,Данные!O212)</f>
        <v>10000</v>
      </c>
    </row>
    <row r="354" spans="1:17" ht="10.5">
      <c r="A354" s="228"/>
      <c r="B354" s="228"/>
      <c r="C354" s="228"/>
      <c r="D354" s="297"/>
      <c r="E354" s="51">
        <f>Данные!$B213*Данные!C213</f>
        <v>0</v>
      </c>
      <c r="F354" s="51">
        <f>Данные!$B213*IF(Данные!$D213="…",Данные!$C213,Данные!D213)</f>
        <v>20000</v>
      </c>
      <c r="G354" s="51">
        <f>Данные!$B213*IF(Данные!$D213="…",Данные!$C213,Данные!E213)</f>
        <v>20000</v>
      </c>
      <c r="H354" s="51">
        <f>Данные!$B213*IF(Данные!$D213="…",Данные!$C213,Данные!F213)</f>
        <v>20000</v>
      </c>
      <c r="I354" s="51">
        <f>Данные!$B213*IF(Данные!$D213="…",Данные!$C213,Данные!G213)</f>
        <v>20000</v>
      </c>
      <c r="J354" s="51">
        <f>Данные!$B213*IF(Данные!$D213="…",Данные!$C213,Данные!H213)</f>
        <v>20000</v>
      </c>
      <c r="K354" s="51">
        <f>Данные!$B213*IF(Данные!$D213="…",Данные!$C213,Данные!I213)</f>
        <v>20000</v>
      </c>
      <c r="L354" s="51">
        <f>Данные!$B213*IF(Данные!$D213="…",Данные!$C213,Данные!J213)</f>
        <v>20000</v>
      </c>
      <c r="M354" s="51">
        <f>Данные!$B213*IF(Данные!$D213="…",Данные!$C213,Данные!K213)</f>
        <v>20000</v>
      </c>
      <c r="N354" s="51">
        <f>Данные!$B213*IF(Данные!$D213="…",Данные!$C213,Данные!L213)</f>
        <v>20000</v>
      </c>
      <c r="O354" s="51">
        <f>Данные!$B213*IF(Данные!$D213="…",Данные!$C213,Данные!M213)</f>
        <v>20000</v>
      </c>
      <c r="P354" s="51">
        <f>Данные!$B213*IF(Данные!$D213="…",Данные!$C213,Данные!N213)</f>
        <v>20000</v>
      </c>
      <c r="Q354" s="51">
        <f>Данные!$B213*IF(Данные!$D213="…",Данные!$C213,Данные!O213)</f>
        <v>20000</v>
      </c>
    </row>
    <row r="355" spans="1:17" ht="10.5">
      <c r="A355" s="228"/>
      <c r="B355" s="228"/>
      <c r="C355" s="228"/>
      <c r="D355" s="297"/>
      <c r="E355" s="51">
        <f>Данные!$B214*Данные!C214</f>
        <v>0</v>
      </c>
      <c r="F355" s="51">
        <f>Данные!$B214*IF(Данные!$D214="…",Данные!$C214,Данные!D214)</f>
        <v>80000</v>
      </c>
      <c r="G355" s="51">
        <f>Данные!$B214*IF(Данные!$D214="…",Данные!$C214,Данные!E214)</f>
        <v>80000</v>
      </c>
      <c r="H355" s="51">
        <f>Данные!$B214*IF(Данные!$D214="…",Данные!$C214,Данные!F214)</f>
        <v>80000</v>
      </c>
      <c r="I355" s="51">
        <f>Данные!$B214*IF(Данные!$D214="…",Данные!$C214,Данные!G214)</f>
        <v>80000</v>
      </c>
      <c r="J355" s="51">
        <f>Данные!$B214*IF(Данные!$D214="…",Данные!$C214,Данные!H214)</f>
        <v>80000</v>
      </c>
      <c r="K355" s="51">
        <f>Данные!$B214*IF(Данные!$D214="…",Данные!$C214,Данные!I214)</f>
        <v>80000</v>
      </c>
      <c r="L355" s="51">
        <f>Данные!$B214*IF(Данные!$D214="…",Данные!$C214,Данные!J214)</f>
        <v>80000</v>
      </c>
      <c r="M355" s="51">
        <f>Данные!$B214*IF(Данные!$D214="…",Данные!$C214,Данные!K214)</f>
        <v>80000</v>
      </c>
      <c r="N355" s="51">
        <f>Данные!$B214*IF(Данные!$D214="…",Данные!$C214,Данные!L214)</f>
        <v>80000</v>
      </c>
      <c r="O355" s="51">
        <f>Данные!$B214*IF(Данные!$D214="…",Данные!$C214,Данные!M214)</f>
        <v>80000</v>
      </c>
      <c r="P355" s="51">
        <f>Данные!$B214*IF(Данные!$D214="…",Данные!$C214,Данные!N214)</f>
        <v>80000</v>
      </c>
      <c r="Q355" s="51">
        <f>Данные!$B214*IF(Данные!$D214="…",Данные!$C214,Данные!O214)</f>
        <v>80000</v>
      </c>
    </row>
    <row r="356" spans="1:17" ht="10.5">
      <c r="A356" s="228"/>
      <c r="B356" s="228"/>
      <c r="C356" s="228"/>
      <c r="D356" s="297"/>
      <c r="E356" s="51">
        <f>Данные!$B215*Данные!C215</f>
        <v>0</v>
      </c>
      <c r="F356" s="51">
        <f>Данные!$B215*IF(Данные!$D215="…",Данные!$C215,Данные!D215)</f>
        <v>10000</v>
      </c>
      <c r="G356" s="51">
        <f>Данные!$B215*IF(Данные!$D215="…",Данные!$C215,Данные!E215)</f>
        <v>10000</v>
      </c>
      <c r="H356" s="51">
        <f>Данные!$B215*IF(Данные!$D215="…",Данные!$C215,Данные!F215)</f>
        <v>10000</v>
      </c>
      <c r="I356" s="51">
        <f>Данные!$B215*IF(Данные!$D215="…",Данные!$C215,Данные!G215)</f>
        <v>10000</v>
      </c>
      <c r="J356" s="51">
        <f>Данные!$B215*IF(Данные!$D215="…",Данные!$C215,Данные!H215)</f>
        <v>10000</v>
      </c>
      <c r="K356" s="51">
        <f>Данные!$B215*IF(Данные!$D215="…",Данные!$C215,Данные!I215)</f>
        <v>10000</v>
      </c>
      <c r="L356" s="51">
        <f>Данные!$B215*IF(Данные!$D215="…",Данные!$C215,Данные!J215)</f>
        <v>10000</v>
      </c>
      <c r="M356" s="51">
        <f>Данные!$B215*IF(Данные!$D215="…",Данные!$C215,Данные!K215)</f>
        <v>10000</v>
      </c>
      <c r="N356" s="51">
        <f>Данные!$B215*IF(Данные!$D215="…",Данные!$C215,Данные!L215)</f>
        <v>10000</v>
      </c>
      <c r="O356" s="51">
        <f>Данные!$B215*IF(Данные!$D215="…",Данные!$C215,Данные!M215)</f>
        <v>10000</v>
      </c>
      <c r="P356" s="51">
        <f>Данные!$B215*IF(Данные!$D215="…",Данные!$C215,Данные!N215)</f>
        <v>10000</v>
      </c>
      <c r="Q356" s="51">
        <f>Данные!$B215*IF(Данные!$D215="…",Данные!$C215,Данные!O215)</f>
        <v>10000</v>
      </c>
    </row>
    <row r="357" spans="1:17" ht="10.5">
      <c r="A357" s="228"/>
      <c r="B357" s="228"/>
      <c r="C357" s="228"/>
      <c r="D357" s="297"/>
      <c r="E357" s="51">
        <f>Данные!$B216*Данные!C216</f>
        <v>0</v>
      </c>
      <c r="F357" s="51">
        <f>Данные!$B216*IF(Данные!$D216="…",Данные!$C216,Данные!D216)</f>
        <v>0</v>
      </c>
      <c r="G357" s="51">
        <f>Данные!$B216*IF(Данные!$D216="…",Данные!$C216,Данные!E216)</f>
        <v>0</v>
      </c>
      <c r="H357" s="51">
        <f>Данные!$B216*IF(Данные!$D216="…",Данные!$C216,Данные!F216)</f>
        <v>0</v>
      </c>
      <c r="I357" s="51">
        <f>Данные!$B216*IF(Данные!$D216="…",Данные!$C216,Данные!G216)</f>
        <v>0</v>
      </c>
      <c r="J357" s="51">
        <f>Данные!$B216*IF(Данные!$D216="…",Данные!$C216,Данные!H216)</f>
        <v>0</v>
      </c>
      <c r="K357" s="51">
        <f>Данные!$B216*IF(Данные!$D216="…",Данные!$C216,Данные!I216)</f>
        <v>0</v>
      </c>
      <c r="L357" s="51">
        <f>Данные!$B216*IF(Данные!$D216="…",Данные!$C216,Данные!J216)</f>
        <v>0</v>
      </c>
      <c r="M357" s="51">
        <f>Данные!$B216*IF(Данные!$D216="…",Данные!$C216,Данные!K216)</f>
        <v>0</v>
      </c>
      <c r="N357" s="51">
        <f>Данные!$B216*IF(Данные!$D216="…",Данные!$C216,Данные!L216)</f>
        <v>0</v>
      </c>
      <c r="O357" s="51">
        <f>Данные!$B216*IF(Данные!$D216="…",Данные!$C216,Данные!M216)</f>
        <v>0</v>
      </c>
      <c r="P357" s="51">
        <f>Данные!$B216*IF(Данные!$D216="…",Данные!$C216,Данные!N216)</f>
        <v>0</v>
      </c>
      <c r="Q357" s="51">
        <f>Данные!$B216*IF(Данные!$D216="…",Данные!$C216,Данные!O216)</f>
        <v>0</v>
      </c>
    </row>
    <row r="358" spans="1:17" ht="10.5">
      <c r="A358" s="228"/>
      <c r="B358" s="228"/>
      <c r="C358" s="228"/>
      <c r="D358" s="297"/>
      <c r="E358" s="51">
        <f>Данные!$B217*Данные!C217</f>
        <v>0</v>
      </c>
      <c r="F358" s="51">
        <f>Данные!$B217*IF(Данные!$D217="…",Данные!$C217,Данные!D217)</f>
        <v>0</v>
      </c>
      <c r="G358" s="51">
        <f>Данные!$B217*IF(Данные!$D217="…",Данные!$C217,Данные!E217)</f>
        <v>0</v>
      </c>
      <c r="H358" s="51">
        <f>Данные!$B217*IF(Данные!$D217="…",Данные!$C217,Данные!F217)</f>
        <v>0</v>
      </c>
      <c r="I358" s="51">
        <f>Данные!$B217*IF(Данные!$D217="…",Данные!$C217,Данные!G217)</f>
        <v>0</v>
      </c>
      <c r="J358" s="51">
        <f>Данные!$B217*IF(Данные!$D217="…",Данные!$C217,Данные!H217)</f>
        <v>0</v>
      </c>
      <c r="K358" s="51">
        <f>Данные!$B217*IF(Данные!$D217="…",Данные!$C217,Данные!I217)</f>
        <v>0</v>
      </c>
      <c r="L358" s="51">
        <f>Данные!$B217*IF(Данные!$D217="…",Данные!$C217,Данные!J217)</f>
        <v>0</v>
      </c>
      <c r="M358" s="51">
        <f>Данные!$B217*IF(Данные!$D217="…",Данные!$C217,Данные!K217)</f>
        <v>0</v>
      </c>
      <c r="N358" s="51">
        <f>Данные!$B217*IF(Данные!$D217="…",Данные!$C217,Данные!L217)</f>
        <v>0</v>
      </c>
      <c r="O358" s="51">
        <f>Данные!$B217*IF(Данные!$D217="…",Данные!$C217,Данные!M217)</f>
        <v>0</v>
      </c>
      <c r="P358" s="51">
        <f>Данные!$B217*IF(Данные!$D217="…",Данные!$C217,Данные!N217)</f>
        <v>0</v>
      </c>
      <c r="Q358" s="51">
        <f>Данные!$B217*IF(Данные!$D217="…",Данные!$C217,Данные!O217)</f>
        <v>0</v>
      </c>
    </row>
    <row r="359" spans="1:17" ht="10.5">
      <c r="A359" s="228"/>
      <c r="B359" s="228"/>
      <c r="C359" s="228"/>
      <c r="D359" s="297"/>
      <c r="E359" s="51">
        <f>Данные!$B218*Данные!C218</f>
        <v>0</v>
      </c>
      <c r="F359" s="51">
        <f>Данные!$B218*IF(Данные!$D218="…",Данные!$C218,Данные!D218)</f>
        <v>0</v>
      </c>
      <c r="G359" s="51">
        <f>Данные!$B218*IF(Данные!$D218="…",Данные!$C218,Данные!E218)</f>
        <v>0</v>
      </c>
      <c r="H359" s="51">
        <f>Данные!$B218*IF(Данные!$D218="…",Данные!$C218,Данные!F218)</f>
        <v>0</v>
      </c>
      <c r="I359" s="51">
        <f>Данные!$B218*IF(Данные!$D218="…",Данные!$C218,Данные!G218)</f>
        <v>0</v>
      </c>
      <c r="J359" s="51">
        <f>Данные!$B218*IF(Данные!$D218="…",Данные!$C218,Данные!H218)</f>
        <v>0</v>
      </c>
      <c r="K359" s="51">
        <f>Данные!$B218*IF(Данные!$D218="…",Данные!$C218,Данные!I218)</f>
        <v>0</v>
      </c>
      <c r="L359" s="51">
        <f>Данные!$B218*IF(Данные!$D218="…",Данные!$C218,Данные!J218)</f>
        <v>0</v>
      </c>
      <c r="M359" s="51">
        <f>Данные!$B218*IF(Данные!$D218="…",Данные!$C218,Данные!K218)</f>
        <v>0</v>
      </c>
      <c r="N359" s="51">
        <f>Данные!$B218*IF(Данные!$D218="…",Данные!$C218,Данные!L218)</f>
        <v>0</v>
      </c>
      <c r="O359" s="51">
        <f>Данные!$B218*IF(Данные!$D218="…",Данные!$C218,Данные!M218)</f>
        <v>0</v>
      </c>
      <c r="P359" s="51">
        <f>Данные!$B218*IF(Данные!$D218="…",Данные!$C218,Данные!N218)</f>
        <v>0</v>
      </c>
      <c r="Q359" s="51">
        <f>Данные!$B218*IF(Данные!$D218="…",Данные!$C218,Данные!O218)</f>
        <v>0</v>
      </c>
    </row>
    <row r="360" spans="1:17" ht="10.5">
      <c r="A360" s="228"/>
      <c r="B360" s="228"/>
      <c r="C360" s="228"/>
      <c r="D360" s="297"/>
      <c r="E360" s="51">
        <f>Данные!$B219*Данные!C219</f>
        <v>0</v>
      </c>
      <c r="F360" s="51">
        <f>Данные!$B219*IF(Данные!$D219="…",Данные!$C219,Данные!D219)</f>
        <v>0</v>
      </c>
      <c r="G360" s="51">
        <f>Данные!$B219*IF(Данные!$D219="…",Данные!$C219,Данные!E219)</f>
        <v>0</v>
      </c>
      <c r="H360" s="51">
        <f>Данные!$B219*IF(Данные!$D219="…",Данные!$C219,Данные!F219)</f>
        <v>0</v>
      </c>
      <c r="I360" s="51">
        <f>Данные!$B219*IF(Данные!$D219="…",Данные!$C219,Данные!G219)</f>
        <v>0</v>
      </c>
      <c r="J360" s="51">
        <f>Данные!$B219*IF(Данные!$D219="…",Данные!$C219,Данные!H219)</f>
        <v>0</v>
      </c>
      <c r="K360" s="51">
        <f>Данные!$B219*IF(Данные!$D219="…",Данные!$C219,Данные!I219)</f>
        <v>0</v>
      </c>
      <c r="L360" s="51">
        <f>Данные!$B219*IF(Данные!$D219="…",Данные!$C219,Данные!J219)</f>
        <v>0</v>
      </c>
      <c r="M360" s="51">
        <f>Данные!$B219*IF(Данные!$D219="…",Данные!$C219,Данные!K219)</f>
        <v>0</v>
      </c>
      <c r="N360" s="51">
        <f>Данные!$B219*IF(Данные!$D219="…",Данные!$C219,Данные!L219)</f>
        <v>0</v>
      </c>
      <c r="O360" s="51">
        <f>Данные!$B219*IF(Данные!$D219="…",Данные!$C219,Данные!M219)</f>
        <v>0</v>
      </c>
      <c r="P360" s="51">
        <f>Данные!$B219*IF(Данные!$D219="…",Данные!$C219,Данные!N219)</f>
        <v>0</v>
      </c>
      <c r="Q360" s="51">
        <f>Данные!$B219*IF(Данные!$D219="…",Данные!$C219,Данные!O219)</f>
        <v>0</v>
      </c>
    </row>
    <row r="361" spans="4:17" s="228" customFormat="1" ht="10.5">
      <c r="D361" s="297" t="s">
        <v>180</v>
      </c>
      <c r="E361" s="228">
        <f ca="1">IF(PERS_COUNT_1&gt;0,SUM(E343:OFFSET(E343,PERS_COUNT_1-1,0)),0)</f>
        <v>0</v>
      </c>
      <c r="F361" s="228">
        <f ca="1">IF(PERS_COUNT_1&gt;0,SUM(F343:OFFSET(F343,PERS_COUNT_1-1,0)),0)</f>
        <v>260000</v>
      </c>
      <c r="G361" s="228">
        <f ca="1">IF(PERS_COUNT_1&gt;0,SUM(G343:OFFSET(G343,PERS_COUNT_1-1,0)),0)</f>
        <v>460000</v>
      </c>
      <c r="H361" s="228">
        <f ca="1">IF(PERS_COUNT_1&gt;0,SUM(H343:OFFSET(H343,PERS_COUNT_1-1,0)),0)</f>
        <v>460000</v>
      </c>
      <c r="I361" s="228">
        <f ca="1">IF(PERS_COUNT_1&gt;0,SUM(I343:OFFSET(I343,PERS_COUNT_1-1,0)),0)</f>
        <v>460000</v>
      </c>
      <c r="J361" s="228">
        <f ca="1">IF(PERS_COUNT_1&gt;0,SUM(J343:OFFSET(J343,PERS_COUNT_1-1,0)),0)</f>
        <v>460000</v>
      </c>
      <c r="K361" s="228">
        <f ca="1">IF(PERS_COUNT_1&gt;0,SUM(K343:OFFSET(K343,PERS_COUNT_1-1,0)),0)</f>
        <v>460000</v>
      </c>
      <c r="L361" s="228">
        <f ca="1">IF(PERS_COUNT_1&gt;0,SUM(L343:OFFSET(L343,PERS_COUNT_1-1,0)),0)</f>
        <v>460000</v>
      </c>
      <c r="M361" s="228">
        <f ca="1">IF(PERS_COUNT_1&gt;0,SUM(M343:OFFSET(M343,PERS_COUNT_1-1,0)),0)</f>
        <v>460000</v>
      </c>
      <c r="N361" s="228">
        <f ca="1">IF(PERS_COUNT_1&gt;0,SUM(N343:OFFSET(N343,PERS_COUNT_1-1,0)),0)</f>
        <v>460000</v>
      </c>
      <c r="O361" s="228">
        <f ca="1">IF(PERS_COUNT_1&gt;0,SUM(O343:OFFSET(O343,PERS_COUNT_1-1,0)),0)</f>
        <v>460000</v>
      </c>
      <c r="P361" s="228">
        <f ca="1">IF(PERS_COUNT_1&gt;0,SUM(P343:OFFSET(P343,PERS_COUNT_1-1,0)),0)</f>
        <v>460000</v>
      </c>
      <c r="Q361" s="228">
        <f ca="1">IF(PERS_COUNT_1&gt;0,SUM(Q343:OFFSET(Q343,PERS_COUNT_1-1,0)),0)</f>
        <v>460000</v>
      </c>
    </row>
    <row r="362" spans="1:5" s="298" customFormat="1" ht="10.5">
      <c r="A362" s="298" t="s">
        <v>58</v>
      </c>
      <c r="D362" s="299"/>
      <c r="E362" s="298" t="s">
        <v>189</v>
      </c>
    </row>
    <row r="363" spans="1:17" ht="10.5">
      <c r="A363" s="228"/>
      <c r="B363" s="228"/>
      <c r="C363" s="228"/>
      <c r="D363" s="297"/>
      <c r="E363" s="51">
        <f>Данные!$B222*Данные!C222</f>
        <v>0</v>
      </c>
      <c r="F363" s="51">
        <f>Данные!$B222*IF(Данные!$D222="…",Данные!$C222,Данные!D222)</f>
        <v>0</v>
      </c>
      <c r="G363" s="51">
        <f>Данные!$B222*IF(Данные!$D222="…",Данные!$C222,Данные!E222)</f>
        <v>0</v>
      </c>
      <c r="H363" s="51">
        <f>Данные!$B222*IF(Данные!$D222="…",Данные!$C222,Данные!F222)</f>
        <v>0</v>
      </c>
      <c r="I363" s="51">
        <f>Данные!$B222*IF(Данные!$D222="…",Данные!$C222,Данные!G222)</f>
        <v>0</v>
      </c>
      <c r="J363" s="51">
        <f>Данные!$B222*IF(Данные!$D222="…",Данные!$C222,Данные!H222)</f>
        <v>0</v>
      </c>
      <c r="K363" s="51">
        <f>Данные!$B222*IF(Данные!$D222="…",Данные!$C222,Данные!I222)</f>
        <v>0</v>
      </c>
      <c r="L363" s="51">
        <f>Данные!$B222*IF(Данные!$D222="…",Данные!$C222,Данные!J222)</f>
        <v>0</v>
      </c>
      <c r="M363" s="51">
        <f>Данные!$B222*IF(Данные!$D222="…",Данные!$C222,Данные!K222)</f>
        <v>0</v>
      </c>
      <c r="N363" s="51">
        <f>Данные!$B222*IF(Данные!$D222="…",Данные!$C222,Данные!L222)</f>
        <v>0</v>
      </c>
      <c r="O363" s="51">
        <f>Данные!$B222*IF(Данные!$D222="…",Данные!$C222,Данные!M222)</f>
        <v>0</v>
      </c>
      <c r="P363" s="51">
        <f>Данные!$B222*IF(Данные!$D222="…",Данные!$C222,Данные!N222)</f>
        <v>0</v>
      </c>
      <c r="Q363" s="51">
        <f>Данные!$B222*IF(Данные!$D222="…",Данные!$C222,Данные!O222)</f>
        <v>0</v>
      </c>
    </row>
    <row r="364" spans="1:17" ht="10.5">
      <c r="A364" s="228"/>
      <c r="B364" s="228"/>
      <c r="C364" s="228"/>
      <c r="D364" s="297"/>
      <c r="E364" s="51">
        <f>Данные!$B223*Данные!C223</f>
        <v>0</v>
      </c>
      <c r="F364" s="51">
        <f>Данные!$B223*IF(Данные!$D223="…",Данные!$C223,Данные!D223)</f>
        <v>0</v>
      </c>
      <c r="G364" s="51">
        <f>Данные!$B223*IF(Данные!$D223="…",Данные!$C223,Данные!E223)</f>
        <v>20000</v>
      </c>
      <c r="H364" s="51">
        <f>Данные!$B223*IF(Данные!$D223="…",Данные!$C223,Данные!F223)</f>
        <v>20000</v>
      </c>
      <c r="I364" s="51">
        <f>Данные!$B223*IF(Данные!$D223="…",Данные!$C223,Данные!G223)</f>
        <v>20000</v>
      </c>
      <c r="J364" s="51">
        <f>Данные!$B223*IF(Данные!$D223="…",Данные!$C223,Данные!H223)</f>
        <v>20000</v>
      </c>
      <c r="K364" s="51">
        <f>Данные!$B223*IF(Данные!$D223="…",Данные!$C223,Данные!I223)</f>
        <v>20000</v>
      </c>
      <c r="L364" s="51">
        <f>Данные!$B223*IF(Данные!$D223="…",Данные!$C223,Данные!J223)</f>
        <v>20000</v>
      </c>
      <c r="M364" s="51">
        <f>Данные!$B223*IF(Данные!$D223="…",Данные!$C223,Данные!K223)</f>
        <v>20000</v>
      </c>
      <c r="N364" s="51">
        <f>Данные!$B223*IF(Данные!$D223="…",Данные!$C223,Данные!L223)</f>
        <v>20000</v>
      </c>
      <c r="O364" s="51">
        <f>Данные!$B223*IF(Данные!$D223="…",Данные!$C223,Данные!M223)</f>
        <v>20000</v>
      </c>
      <c r="P364" s="51">
        <f>Данные!$B223*IF(Данные!$D223="…",Данные!$C223,Данные!N223)</f>
        <v>20000</v>
      </c>
      <c r="Q364" s="51">
        <f>Данные!$B223*IF(Данные!$D223="…",Данные!$C223,Данные!O223)</f>
        <v>20000</v>
      </c>
    </row>
    <row r="365" spans="1:17" ht="10.5">
      <c r="A365" s="228"/>
      <c r="B365" s="228"/>
      <c r="C365" s="228"/>
      <c r="D365" s="297"/>
      <c r="E365" s="51">
        <f>Данные!$B224*Данные!C224</f>
        <v>0</v>
      </c>
      <c r="F365" s="51">
        <f>Данные!$B224*IF(Данные!$D224="…",Данные!$C224,Данные!D224)</f>
        <v>0</v>
      </c>
      <c r="G365" s="51">
        <f>Данные!$B224*IF(Данные!$D224="…",Данные!$C224,Данные!E224)</f>
        <v>20000</v>
      </c>
      <c r="H365" s="51">
        <f>Данные!$B224*IF(Данные!$D224="…",Данные!$C224,Данные!F224)</f>
        <v>20000</v>
      </c>
      <c r="I365" s="51">
        <f>Данные!$B224*IF(Данные!$D224="…",Данные!$C224,Данные!G224)</f>
        <v>20000</v>
      </c>
      <c r="J365" s="51">
        <f>Данные!$B224*IF(Данные!$D224="…",Данные!$C224,Данные!H224)</f>
        <v>20000</v>
      </c>
      <c r="K365" s="51">
        <f>Данные!$B224*IF(Данные!$D224="…",Данные!$C224,Данные!I224)</f>
        <v>20000</v>
      </c>
      <c r="L365" s="51">
        <f>Данные!$B224*IF(Данные!$D224="…",Данные!$C224,Данные!J224)</f>
        <v>20000</v>
      </c>
      <c r="M365" s="51">
        <f>Данные!$B224*IF(Данные!$D224="…",Данные!$C224,Данные!K224)</f>
        <v>20000</v>
      </c>
      <c r="N365" s="51">
        <f>Данные!$B224*IF(Данные!$D224="…",Данные!$C224,Данные!L224)</f>
        <v>20000</v>
      </c>
      <c r="O365" s="51">
        <f>Данные!$B224*IF(Данные!$D224="…",Данные!$C224,Данные!M224)</f>
        <v>20000</v>
      </c>
      <c r="P365" s="51">
        <f>Данные!$B224*IF(Данные!$D224="…",Данные!$C224,Данные!N224)</f>
        <v>20000</v>
      </c>
      <c r="Q365" s="51">
        <f>Данные!$B224*IF(Данные!$D224="…",Данные!$C224,Данные!O224)</f>
        <v>20000</v>
      </c>
    </row>
    <row r="366" spans="1:17" ht="10.5">
      <c r="A366" s="228"/>
      <c r="B366" s="228"/>
      <c r="C366" s="228"/>
      <c r="D366" s="297"/>
      <c r="E366" s="51">
        <f>Данные!$B225*Данные!C225</f>
        <v>0</v>
      </c>
      <c r="F366" s="51">
        <f>Данные!$B225*IF(Данные!$D225="…",Данные!$C225,Данные!D225)</f>
        <v>0</v>
      </c>
      <c r="G366" s="51">
        <f>Данные!$B225*IF(Данные!$D225="…",Данные!$C225,Данные!E225)</f>
        <v>20000</v>
      </c>
      <c r="H366" s="51">
        <f>Данные!$B225*IF(Данные!$D225="…",Данные!$C225,Данные!F225)</f>
        <v>20000</v>
      </c>
      <c r="I366" s="51">
        <f>Данные!$B225*IF(Данные!$D225="…",Данные!$C225,Данные!G225)</f>
        <v>20000</v>
      </c>
      <c r="J366" s="51">
        <f>Данные!$B225*IF(Данные!$D225="…",Данные!$C225,Данные!H225)</f>
        <v>20000</v>
      </c>
      <c r="K366" s="51">
        <f>Данные!$B225*IF(Данные!$D225="…",Данные!$C225,Данные!I225)</f>
        <v>20000</v>
      </c>
      <c r="L366" s="51">
        <f>Данные!$B225*IF(Данные!$D225="…",Данные!$C225,Данные!J225)</f>
        <v>20000</v>
      </c>
      <c r="M366" s="51">
        <f>Данные!$B225*IF(Данные!$D225="…",Данные!$C225,Данные!K225)</f>
        <v>20000</v>
      </c>
      <c r="N366" s="51">
        <f>Данные!$B225*IF(Данные!$D225="…",Данные!$C225,Данные!L225)</f>
        <v>20000</v>
      </c>
      <c r="O366" s="51">
        <f>Данные!$B225*IF(Данные!$D225="…",Данные!$C225,Данные!M225)</f>
        <v>20000</v>
      </c>
      <c r="P366" s="51">
        <f>Данные!$B225*IF(Данные!$D225="…",Данные!$C225,Данные!N225)</f>
        <v>20000</v>
      </c>
      <c r="Q366" s="51">
        <f>Данные!$B225*IF(Данные!$D225="…",Данные!$C225,Данные!O225)</f>
        <v>20000</v>
      </c>
    </row>
    <row r="367" spans="1:17" ht="10.5">
      <c r="A367" s="228"/>
      <c r="B367" s="228"/>
      <c r="C367" s="228"/>
      <c r="D367" s="297"/>
      <c r="E367" s="51">
        <f>Данные!$B226*Данные!C226</f>
        <v>0</v>
      </c>
      <c r="F367" s="51">
        <f>Данные!$B226*IF(Данные!$D226="…",Данные!$C226,Данные!D226)</f>
        <v>0</v>
      </c>
      <c r="G367" s="51">
        <f>Данные!$B226*IF(Данные!$D226="…",Данные!$C226,Данные!E226)</f>
        <v>40000</v>
      </c>
      <c r="H367" s="51">
        <f>Данные!$B226*IF(Данные!$D226="…",Данные!$C226,Данные!F226)</f>
        <v>40000</v>
      </c>
      <c r="I367" s="51">
        <f>Данные!$B226*IF(Данные!$D226="…",Данные!$C226,Данные!G226)</f>
        <v>40000</v>
      </c>
      <c r="J367" s="51">
        <f>Данные!$B226*IF(Данные!$D226="…",Данные!$C226,Данные!H226)</f>
        <v>40000</v>
      </c>
      <c r="K367" s="51">
        <f>Данные!$B226*IF(Данные!$D226="…",Данные!$C226,Данные!I226)</f>
        <v>40000</v>
      </c>
      <c r="L367" s="51">
        <f>Данные!$B226*IF(Данные!$D226="…",Данные!$C226,Данные!J226)</f>
        <v>40000</v>
      </c>
      <c r="M367" s="51">
        <f>Данные!$B226*IF(Данные!$D226="…",Данные!$C226,Данные!K226)</f>
        <v>40000</v>
      </c>
      <c r="N367" s="51">
        <f>Данные!$B226*IF(Данные!$D226="…",Данные!$C226,Данные!L226)</f>
        <v>40000</v>
      </c>
      <c r="O367" s="51">
        <f>Данные!$B226*IF(Данные!$D226="…",Данные!$C226,Данные!M226)</f>
        <v>40000</v>
      </c>
      <c r="P367" s="51">
        <f>Данные!$B226*IF(Данные!$D226="…",Данные!$C226,Данные!N226)</f>
        <v>40000</v>
      </c>
      <c r="Q367" s="51">
        <f>Данные!$B226*IF(Данные!$D226="…",Данные!$C226,Данные!O226)</f>
        <v>40000</v>
      </c>
    </row>
    <row r="368" spans="1:17" ht="10.5">
      <c r="A368" s="228"/>
      <c r="B368" s="228"/>
      <c r="C368" s="228"/>
      <c r="D368" s="297"/>
      <c r="E368" s="51">
        <f>Данные!$B227*Данные!C227</f>
        <v>0</v>
      </c>
      <c r="F368" s="51">
        <f>Данные!$B227*IF(Данные!$D227="…",Данные!$C227,Данные!D227)</f>
        <v>0</v>
      </c>
      <c r="G368" s="51">
        <f>Данные!$B227*IF(Данные!$D227="…",Данные!$C227,Данные!E227)</f>
        <v>50000</v>
      </c>
      <c r="H368" s="51">
        <f>Данные!$B227*IF(Данные!$D227="…",Данные!$C227,Данные!F227)</f>
        <v>50000</v>
      </c>
      <c r="I368" s="51">
        <f>Данные!$B227*IF(Данные!$D227="…",Данные!$C227,Данные!G227)</f>
        <v>50000</v>
      </c>
      <c r="J368" s="51">
        <f>Данные!$B227*IF(Данные!$D227="…",Данные!$C227,Данные!H227)</f>
        <v>50000</v>
      </c>
      <c r="K368" s="51">
        <f>Данные!$B227*IF(Данные!$D227="…",Данные!$C227,Данные!I227)</f>
        <v>50000</v>
      </c>
      <c r="L368" s="51">
        <f>Данные!$B227*IF(Данные!$D227="…",Данные!$C227,Данные!J227)</f>
        <v>50000</v>
      </c>
      <c r="M368" s="51">
        <f>Данные!$B227*IF(Данные!$D227="…",Данные!$C227,Данные!K227)</f>
        <v>50000</v>
      </c>
      <c r="N368" s="51">
        <f>Данные!$B227*IF(Данные!$D227="…",Данные!$C227,Данные!L227)</f>
        <v>50000</v>
      </c>
      <c r="O368" s="51">
        <f>Данные!$B227*IF(Данные!$D227="…",Данные!$C227,Данные!M227)</f>
        <v>50000</v>
      </c>
      <c r="P368" s="51">
        <f>Данные!$B227*IF(Данные!$D227="…",Данные!$C227,Данные!N227)</f>
        <v>50000</v>
      </c>
      <c r="Q368" s="51">
        <f>Данные!$B227*IF(Данные!$D227="…",Данные!$C227,Данные!O227)</f>
        <v>50000</v>
      </c>
    </row>
    <row r="369" spans="1:17" ht="10.5">
      <c r="A369" s="228"/>
      <c r="B369" s="228"/>
      <c r="C369" s="228"/>
      <c r="D369" s="297"/>
      <c r="E369" s="51">
        <f>Данные!$B228*Данные!C228</f>
        <v>0</v>
      </c>
      <c r="F369" s="51">
        <f>Данные!$B228*IF(Данные!$D228="…",Данные!$C228,Данные!D228)</f>
        <v>0</v>
      </c>
      <c r="G369" s="51">
        <f>Данные!$B228*IF(Данные!$D228="…",Данные!$C228,Данные!E228)</f>
        <v>20000</v>
      </c>
      <c r="H369" s="51">
        <f>Данные!$B228*IF(Данные!$D228="…",Данные!$C228,Данные!F228)</f>
        <v>20000</v>
      </c>
      <c r="I369" s="51">
        <f>Данные!$B228*IF(Данные!$D228="…",Данные!$C228,Данные!G228)</f>
        <v>20000</v>
      </c>
      <c r="J369" s="51">
        <f>Данные!$B228*IF(Данные!$D228="…",Данные!$C228,Данные!H228)</f>
        <v>20000</v>
      </c>
      <c r="K369" s="51">
        <f>Данные!$B228*IF(Данные!$D228="…",Данные!$C228,Данные!I228)</f>
        <v>20000</v>
      </c>
      <c r="L369" s="51">
        <f>Данные!$B228*IF(Данные!$D228="…",Данные!$C228,Данные!J228)</f>
        <v>20000</v>
      </c>
      <c r="M369" s="51">
        <f>Данные!$B228*IF(Данные!$D228="…",Данные!$C228,Данные!K228)</f>
        <v>20000</v>
      </c>
      <c r="N369" s="51">
        <f>Данные!$B228*IF(Данные!$D228="…",Данные!$C228,Данные!L228)</f>
        <v>20000</v>
      </c>
      <c r="O369" s="51">
        <f>Данные!$B228*IF(Данные!$D228="…",Данные!$C228,Данные!M228)</f>
        <v>20000</v>
      </c>
      <c r="P369" s="51">
        <f>Данные!$B228*IF(Данные!$D228="…",Данные!$C228,Данные!N228)</f>
        <v>20000</v>
      </c>
      <c r="Q369" s="51">
        <f>Данные!$B228*IF(Данные!$D228="…",Данные!$C228,Данные!O228)</f>
        <v>20000</v>
      </c>
    </row>
    <row r="370" spans="1:17" ht="10.5">
      <c r="A370" s="228"/>
      <c r="B370" s="228"/>
      <c r="C370" s="228"/>
      <c r="D370" s="297"/>
      <c r="E370" s="51">
        <f>Данные!$B229*Данные!C229</f>
        <v>0</v>
      </c>
      <c r="F370" s="51">
        <f>Данные!$B229*IF(Данные!$D229="…",Данные!$C229,Данные!D229)</f>
        <v>0</v>
      </c>
      <c r="G370" s="51">
        <f>Данные!$B229*IF(Данные!$D229="…",Данные!$C229,Данные!E229)</f>
        <v>20000</v>
      </c>
      <c r="H370" s="51">
        <f>Данные!$B229*IF(Данные!$D229="…",Данные!$C229,Данные!F229)</f>
        <v>20000</v>
      </c>
      <c r="I370" s="51">
        <f>Данные!$B229*IF(Данные!$D229="…",Данные!$C229,Данные!G229)</f>
        <v>20000</v>
      </c>
      <c r="J370" s="51">
        <f>Данные!$B229*IF(Данные!$D229="…",Данные!$C229,Данные!H229)</f>
        <v>20000</v>
      </c>
      <c r="K370" s="51">
        <f>Данные!$B229*IF(Данные!$D229="…",Данные!$C229,Данные!I229)</f>
        <v>20000</v>
      </c>
      <c r="L370" s="51">
        <f>Данные!$B229*IF(Данные!$D229="…",Данные!$C229,Данные!J229)</f>
        <v>20000</v>
      </c>
      <c r="M370" s="51">
        <f>Данные!$B229*IF(Данные!$D229="…",Данные!$C229,Данные!K229)</f>
        <v>20000</v>
      </c>
      <c r="N370" s="51">
        <f>Данные!$B229*IF(Данные!$D229="…",Данные!$C229,Данные!L229)</f>
        <v>20000</v>
      </c>
      <c r="O370" s="51">
        <f>Данные!$B229*IF(Данные!$D229="…",Данные!$C229,Данные!M229)</f>
        <v>20000</v>
      </c>
      <c r="P370" s="51">
        <f>Данные!$B229*IF(Данные!$D229="…",Данные!$C229,Данные!N229)</f>
        <v>20000</v>
      </c>
      <c r="Q370" s="51">
        <f>Данные!$B229*IF(Данные!$D229="…",Данные!$C229,Данные!O229)</f>
        <v>20000</v>
      </c>
    </row>
    <row r="371" spans="1:17" ht="10.5">
      <c r="A371" s="228"/>
      <c r="B371" s="228"/>
      <c r="C371" s="228"/>
      <c r="D371" s="297"/>
      <c r="E371" s="51">
        <f>Данные!$B230*Данные!C230</f>
        <v>0</v>
      </c>
      <c r="F371" s="51">
        <f>Данные!$B230*IF(Данные!$D230="…",Данные!$C230,Данные!D230)</f>
        <v>0</v>
      </c>
      <c r="G371" s="51">
        <f>Данные!$B230*IF(Данные!$D230="…",Данные!$C230,Данные!E230)</f>
        <v>0</v>
      </c>
      <c r="H371" s="51">
        <f>Данные!$B230*IF(Данные!$D230="…",Данные!$C230,Данные!F230)</f>
        <v>0</v>
      </c>
      <c r="I371" s="51">
        <f>Данные!$B230*IF(Данные!$D230="…",Данные!$C230,Данные!G230)</f>
        <v>0</v>
      </c>
      <c r="J371" s="51">
        <f>Данные!$B230*IF(Данные!$D230="…",Данные!$C230,Данные!H230)</f>
        <v>0</v>
      </c>
      <c r="K371" s="51">
        <f>Данные!$B230*IF(Данные!$D230="…",Данные!$C230,Данные!I230)</f>
        <v>0</v>
      </c>
      <c r="L371" s="51">
        <f>Данные!$B230*IF(Данные!$D230="…",Данные!$C230,Данные!J230)</f>
        <v>0</v>
      </c>
      <c r="M371" s="51">
        <f>Данные!$B230*IF(Данные!$D230="…",Данные!$C230,Данные!K230)</f>
        <v>0</v>
      </c>
      <c r="N371" s="51">
        <f>Данные!$B230*IF(Данные!$D230="…",Данные!$C230,Данные!L230)</f>
        <v>0</v>
      </c>
      <c r="O371" s="51">
        <f>Данные!$B230*IF(Данные!$D230="…",Данные!$C230,Данные!M230)</f>
        <v>0</v>
      </c>
      <c r="P371" s="51">
        <f>Данные!$B230*IF(Данные!$D230="…",Данные!$C230,Данные!N230)</f>
        <v>0</v>
      </c>
      <c r="Q371" s="51">
        <f>Данные!$B230*IF(Данные!$D230="…",Данные!$C230,Данные!O230)</f>
        <v>0</v>
      </c>
    </row>
    <row r="372" spans="1:17" ht="10.5">
      <c r="A372" s="228"/>
      <c r="B372" s="228"/>
      <c r="C372" s="228"/>
      <c r="D372" s="297"/>
      <c r="E372" s="51">
        <f>Данные!$B231*Данные!C231</f>
        <v>0</v>
      </c>
      <c r="F372" s="51">
        <f>Данные!$B231*IF(Данные!$D231="…",Данные!$C231,Данные!D231)</f>
        <v>0</v>
      </c>
      <c r="G372" s="51">
        <f>Данные!$B231*IF(Данные!$D231="…",Данные!$C231,Данные!E231)</f>
        <v>45000</v>
      </c>
      <c r="H372" s="51">
        <f>Данные!$B231*IF(Данные!$D231="…",Данные!$C231,Данные!F231)</f>
        <v>45000</v>
      </c>
      <c r="I372" s="51">
        <f>Данные!$B231*IF(Данные!$D231="…",Данные!$C231,Данные!G231)</f>
        <v>45000</v>
      </c>
      <c r="J372" s="51">
        <f>Данные!$B231*IF(Данные!$D231="…",Данные!$C231,Данные!H231)</f>
        <v>45000</v>
      </c>
      <c r="K372" s="51">
        <f>Данные!$B231*IF(Данные!$D231="…",Данные!$C231,Данные!I231)</f>
        <v>45000</v>
      </c>
      <c r="L372" s="51">
        <f>Данные!$B231*IF(Данные!$D231="…",Данные!$C231,Данные!J231)</f>
        <v>45000</v>
      </c>
      <c r="M372" s="51">
        <f>Данные!$B231*IF(Данные!$D231="…",Данные!$C231,Данные!K231)</f>
        <v>45000</v>
      </c>
      <c r="N372" s="51">
        <f>Данные!$B231*IF(Данные!$D231="…",Данные!$C231,Данные!L231)</f>
        <v>45000</v>
      </c>
      <c r="O372" s="51">
        <f>Данные!$B231*IF(Данные!$D231="…",Данные!$C231,Данные!M231)</f>
        <v>45000</v>
      </c>
      <c r="P372" s="51">
        <f>Данные!$B231*IF(Данные!$D231="…",Данные!$C231,Данные!N231)</f>
        <v>45000</v>
      </c>
      <c r="Q372" s="51">
        <f>Данные!$B231*IF(Данные!$D231="…",Данные!$C231,Данные!O231)</f>
        <v>45000</v>
      </c>
    </row>
    <row r="373" spans="1:17" ht="10.5">
      <c r="A373" s="228"/>
      <c r="B373" s="228"/>
      <c r="C373" s="228"/>
      <c r="D373" s="297"/>
      <c r="E373" s="51">
        <f>Данные!$B232*Данные!C232</f>
        <v>0</v>
      </c>
      <c r="F373" s="51">
        <f>Данные!$B232*IF(Данные!$D232="…",Данные!$C232,Данные!D232)</f>
        <v>0</v>
      </c>
      <c r="G373" s="51">
        <f>Данные!$B232*IF(Данные!$D232="…",Данные!$C232,Данные!E232)</f>
        <v>50000</v>
      </c>
      <c r="H373" s="51">
        <f>Данные!$B232*IF(Данные!$D232="…",Данные!$C232,Данные!F232)</f>
        <v>50000</v>
      </c>
      <c r="I373" s="51">
        <f>Данные!$B232*IF(Данные!$D232="…",Данные!$C232,Данные!G232)</f>
        <v>50000</v>
      </c>
      <c r="J373" s="51">
        <f>Данные!$B232*IF(Данные!$D232="…",Данные!$C232,Данные!H232)</f>
        <v>50000</v>
      </c>
      <c r="K373" s="51">
        <f>Данные!$B232*IF(Данные!$D232="…",Данные!$C232,Данные!I232)</f>
        <v>50000</v>
      </c>
      <c r="L373" s="51">
        <f>Данные!$B232*IF(Данные!$D232="…",Данные!$C232,Данные!J232)</f>
        <v>50000</v>
      </c>
      <c r="M373" s="51">
        <f>Данные!$B232*IF(Данные!$D232="…",Данные!$C232,Данные!K232)</f>
        <v>50000</v>
      </c>
      <c r="N373" s="51">
        <f>Данные!$B232*IF(Данные!$D232="…",Данные!$C232,Данные!L232)</f>
        <v>50000</v>
      </c>
      <c r="O373" s="51">
        <f>Данные!$B232*IF(Данные!$D232="…",Данные!$C232,Данные!M232)</f>
        <v>50000</v>
      </c>
      <c r="P373" s="51">
        <f>Данные!$B232*IF(Данные!$D232="…",Данные!$C232,Данные!N232)</f>
        <v>50000</v>
      </c>
      <c r="Q373" s="51">
        <f>Данные!$B232*IF(Данные!$D232="…",Данные!$C232,Данные!O232)</f>
        <v>50000</v>
      </c>
    </row>
    <row r="374" spans="1:17" ht="10.5">
      <c r="A374" s="228"/>
      <c r="B374" s="228"/>
      <c r="C374" s="228"/>
      <c r="D374" s="297"/>
      <c r="E374" s="51">
        <f>Данные!$B233*Данные!C233</f>
        <v>0</v>
      </c>
      <c r="F374" s="51">
        <f>Данные!$B233*IF(Данные!$D233="…",Данные!$C233,Данные!D233)</f>
        <v>0</v>
      </c>
      <c r="G374" s="51">
        <f>Данные!$B233*IF(Данные!$D233="…",Данные!$C233,Данные!E233)</f>
        <v>50000</v>
      </c>
      <c r="H374" s="51">
        <f>Данные!$B233*IF(Данные!$D233="…",Данные!$C233,Данные!F233)</f>
        <v>50000</v>
      </c>
      <c r="I374" s="51">
        <f>Данные!$B233*IF(Данные!$D233="…",Данные!$C233,Данные!G233)</f>
        <v>50000</v>
      </c>
      <c r="J374" s="51">
        <f>Данные!$B233*IF(Данные!$D233="…",Данные!$C233,Данные!H233)</f>
        <v>50000</v>
      </c>
      <c r="K374" s="51">
        <f>Данные!$B233*IF(Данные!$D233="…",Данные!$C233,Данные!I233)</f>
        <v>50000</v>
      </c>
      <c r="L374" s="51">
        <f>Данные!$B233*IF(Данные!$D233="…",Данные!$C233,Данные!J233)</f>
        <v>50000</v>
      </c>
      <c r="M374" s="51">
        <f>Данные!$B233*IF(Данные!$D233="…",Данные!$C233,Данные!K233)</f>
        <v>50000</v>
      </c>
      <c r="N374" s="51">
        <f>Данные!$B233*IF(Данные!$D233="…",Данные!$C233,Данные!L233)</f>
        <v>50000</v>
      </c>
      <c r="O374" s="51">
        <f>Данные!$B233*IF(Данные!$D233="…",Данные!$C233,Данные!M233)</f>
        <v>50000</v>
      </c>
      <c r="P374" s="51">
        <f>Данные!$B233*IF(Данные!$D233="…",Данные!$C233,Данные!N233)</f>
        <v>50000</v>
      </c>
      <c r="Q374" s="51">
        <f>Данные!$B233*IF(Данные!$D233="…",Данные!$C233,Данные!O233)</f>
        <v>50000</v>
      </c>
    </row>
    <row r="375" spans="4:17" s="228" customFormat="1" ht="10.5">
      <c r="D375" s="297" t="s">
        <v>180</v>
      </c>
      <c r="E375" s="228">
        <f ca="1">IF(PERS_COUNT_2&gt;0,SUM(E363:OFFSET(E363,PERS_COUNT_2-1,0)),0)</f>
        <v>0</v>
      </c>
      <c r="F375" s="228">
        <f ca="1">IF(PERS_COUNT_2&gt;0,SUM(F363:OFFSET(F363,PERS_COUNT_2-1,0)),0)</f>
        <v>0</v>
      </c>
      <c r="G375" s="228">
        <f ca="1">IF(PERS_COUNT_2&gt;0,SUM(G363:OFFSET(G363,PERS_COUNT_2-1,0)),0)</f>
        <v>335000</v>
      </c>
      <c r="H375" s="228">
        <f ca="1">IF(PERS_COUNT_2&gt;0,SUM(H363:OFFSET(H363,PERS_COUNT_2-1,0)),0)</f>
        <v>335000</v>
      </c>
      <c r="I375" s="228">
        <f ca="1">IF(PERS_COUNT_2&gt;0,SUM(I363:OFFSET(I363,PERS_COUNT_2-1,0)),0)</f>
        <v>335000</v>
      </c>
      <c r="J375" s="228">
        <f ca="1">IF(PERS_COUNT_2&gt;0,SUM(J363:OFFSET(J363,PERS_COUNT_2-1,0)),0)</f>
        <v>335000</v>
      </c>
      <c r="K375" s="228">
        <f ca="1">IF(PERS_COUNT_2&gt;0,SUM(K363:OFFSET(K363,PERS_COUNT_2-1,0)),0)</f>
        <v>335000</v>
      </c>
      <c r="L375" s="228">
        <f ca="1">IF(PERS_COUNT_2&gt;0,SUM(L363:OFFSET(L363,PERS_COUNT_2-1,0)),0)</f>
        <v>335000</v>
      </c>
      <c r="M375" s="228">
        <f ca="1">IF(PERS_COUNT_2&gt;0,SUM(M363:OFFSET(M363,PERS_COUNT_2-1,0)),0)</f>
        <v>335000</v>
      </c>
      <c r="N375" s="228">
        <f ca="1">IF(PERS_COUNT_2&gt;0,SUM(N363:OFFSET(N363,PERS_COUNT_2-1,0)),0)</f>
        <v>335000</v>
      </c>
      <c r="O375" s="228">
        <f ca="1">IF(PERS_COUNT_2&gt;0,SUM(O363:OFFSET(O363,PERS_COUNT_2-1,0)),0)</f>
        <v>335000</v>
      </c>
      <c r="P375" s="228">
        <f ca="1">IF(PERS_COUNT_2&gt;0,SUM(P363:OFFSET(P363,PERS_COUNT_2-1,0)),0)</f>
        <v>335000</v>
      </c>
      <c r="Q375" s="228">
        <f ca="1">IF(PERS_COUNT_2&gt;0,SUM(Q363:OFFSET(Q363,PERS_COUNT_2-1,0)),0)</f>
        <v>335000</v>
      </c>
    </row>
    <row r="376" spans="1:5" s="298" customFormat="1" ht="10.5">
      <c r="A376" s="298" t="s">
        <v>58</v>
      </c>
      <c r="D376" s="299"/>
      <c r="E376" s="298" t="s">
        <v>189</v>
      </c>
    </row>
    <row r="377" spans="1:17" ht="10.5">
      <c r="A377" s="228"/>
      <c r="B377" s="228"/>
      <c r="C377" s="228"/>
      <c r="D377" s="297"/>
      <c r="E377" s="51">
        <f>Данные!$B236*Данные!C236</f>
        <v>30000</v>
      </c>
      <c r="F377" s="51">
        <f>Данные!$B236*IF(Данные!$D236="…",Данные!$C236,Данные!D236)</f>
        <v>30000</v>
      </c>
      <c r="G377" s="51">
        <f>Данные!$B236*IF(Данные!$D236="…",Данные!$C236,Данные!E236)</f>
        <v>30000</v>
      </c>
      <c r="H377" s="51">
        <f>Данные!$B236*IF(Данные!$D236="…",Данные!$C236,Данные!F236)</f>
        <v>30000</v>
      </c>
      <c r="I377" s="51">
        <f>Данные!$B236*IF(Данные!$D236="…",Данные!$C236,Данные!G236)</f>
        <v>30000</v>
      </c>
      <c r="J377" s="51">
        <f>Данные!$B236*IF(Данные!$D236="…",Данные!$C236,Данные!H236)</f>
        <v>30000</v>
      </c>
      <c r="K377" s="51">
        <f>Данные!$B236*IF(Данные!$D236="…",Данные!$C236,Данные!I236)</f>
        <v>30000</v>
      </c>
      <c r="L377" s="51">
        <f>Данные!$B236*IF(Данные!$D236="…",Данные!$C236,Данные!J236)</f>
        <v>30000</v>
      </c>
      <c r="M377" s="51">
        <f>Данные!$B236*IF(Данные!$D236="…",Данные!$C236,Данные!K236)</f>
        <v>30000</v>
      </c>
      <c r="N377" s="51">
        <f>Данные!$B236*IF(Данные!$D236="…",Данные!$C236,Данные!L236)</f>
        <v>30000</v>
      </c>
      <c r="O377" s="51">
        <f>Данные!$B236*IF(Данные!$D236="…",Данные!$C236,Данные!M236)</f>
        <v>30000</v>
      </c>
      <c r="P377" s="51">
        <f>Данные!$B236*IF(Данные!$D236="…",Данные!$C236,Данные!N236)</f>
        <v>30000</v>
      </c>
      <c r="Q377" s="51">
        <f>Данные!$B236*IF(Данные!$D236="…",Данные!$C236,Данные!O236)</f>
        <v>30000</v>
      </c>
    </row>
    <row r="378" spans="1:17" ht="10.5">
      <c r="A378" s="228"/>
      <c r="B378" s="228"/>
      <c r="C378" s="228"/>
      <c r="D378" s="297"/>
      <c r="E378" s="51">
        <f>Данные!$B237*Данные!C237</f>
        <v>0</v>
      </c>
      <c r="F378" s="51">
        <f>Данные!$B237*IF(Данные!$D237="…",Данные!$C237,Данные!D237)</f>
        <v>0</v>
      </c>
      <c r="G378" s="51">
        <f>Данные!$B237*IF(Данные!$D237="…",Данные!$C237,Данные!E237)</f>
        <v>20000</v>
      </c>
      <c r="H378" s="51">
        <f>Данные!$B237*IF(Данные!$D237="…",Данные!$C237,Данные!F237)</f>
        <v>20000</v>
      </c>
      <c r="I378" s="51">
        <f>Данные!$B237*IF(Данные!$D237="…",Данные!$C237,Данные!G237)</f>
        <v>20000</v>
      </c>
      <c r="J378" s="51">
        <f>Данные!$B237*IF(Данные!$D237="…",Данные!$C237,Данные!H237)</f>
        <v>20000</v>
      </c>
      <c r="K378" s="51">
        <f>Данные!$B237*IF(Данные!$D237="…",Данные!$C237,Данные!I237)</f>
        <v>20000</v>
      </c>
      <c r="L378" s="51">
        <f>Данные!$B237*IF(Данные!$D237="…",Данные!$C237,Данные!J237)</f>
        <v>20000</v>
      </c>
      <c r="M378" s="51">
        <f>Данные!$B237*IF(Данные!$D237="…",Данные!$C237,Данные!K237)</f>
        <v>20000</v>
      </c>
      <c r="N378" s="51">
        <f>Данные!$B237*IF(Данные!$D237="…",Данные!$C237,Данные!L237)</f>
        <v>20000</v>
      </c>
      <c r="O378" s="51">
        <f>Данные!$B237*IF(Данные!$D237="…",Данные!$C237,Данные!M237)</f>
        <v>20000</v>
      </c>
      <c r="P378" s="51">
        <f>Данные!$B237*IF(Данные!$D237="…",Данные!$C237,Данные!N237)</f>
        <v>20000</v>
      </c>
      <c r="Q378" s="51">
        <f>Данные!$B237*IF(Данные!$D237="…",Данные!$C237,Данные!O237)</f>
        <v>20000</v>
      </c>
    </row>
    <row r="379" spans="1:17" ht="10.5">
      <c r="A379" s="228"/>
      <c r="B379" s="228"/>
      <c r="C379" s="228"/>
      <c r="D379" s="297"/>
      <c r="E379" s="51">
        <f>Данные!$B238*Данные!C238</f>
        <v>0</v>
      </c>
      <c r="F379" s="51">
        <f>Данные!$B238*IF(Данные!$D238="…",Данные!$C238,Данные!D238)</f>
        <v>0</v>
      </c>
      <c r="G379" s="51">
        <f>Данные!$B238*IF(Данные!$D238="…",Данные!$C238,Данные!E238)</f>
        <v>0</v>
      </c>
      <c r="H379" s="51">
        <f>Данные!$B238*IF(Данные!$D238="…",Данные!$C238,Данные!F238)</f>
        <v>0</v>
      </c>
      <c r="I379" s="51">
        <f>Данные!$B238*IF(Данные!$D238="…",Данные!$C238,Данные!G238)</f>
        <v>0</v>
      </c>
      <c r="J379" s="51">
        <f>Данные!$B238*IF(Данные!$D238="…",Данные!$C238,Данные!H238)</f>
        <v>0</v>
      </c>
      <c r="K379" s="51">
        <f>Данные!$B238*IF(Данные!$D238="…",Данные!$C238,Данные!I238)</f>
        <v>0</v>
      </c>
      <c r="L379" s="51">
        <f>Данные!$B238*IF(Данные!$D238="…",Данные!$C238,Данные!J238)</f>
        <v>0</v>
      </c>
      <c r="M379" s="51">
        <f>Данные!$B238*IF(Данные!$D238="…",Данные!$C238,Данные!K238)</f>
        <v>0</v>
      </c>
      <c r="N379" s="51">
        <f>Данные!$B238*IF(Данные!$D238="…",Данные!$C238,Данные!L238)</f>
        <v>0</v>
      </c>
      <c r="O379" s="51">
        <f>Данные!$B238*IF(Данные!$D238="…",Данные!$C238,Данные!M238)</f>
        <v>0</v>
      </c>
      <c r="P379" s="51">
        <f>Данные!$B238*IF(Данные!$D238="…",Данные!$C238,Данные!N238)</f>
        <v>0</v>
      </c>
      <c r="Q379" s="51">
        <f>Данные!$B238*IF(Данные!$D238="…",Данные!$C238,Данные!O238)</f>
        <v>0</v>
      </c>
    </row>
    <row r="380" spans="1:17" ht="10.5">
      <c r="A380" s="228"/>
      <c r="B380" s="228"/>
      <c r="C380" s="228"/>
      <c r="D380" s="297"/>
      <c r="E380" s="51">
        <f>Данные!$B239*Данные!C239</f>
        <v>0</v>
      </c>
      <c r="F380" s="51">
        <f>Данные!$B239*IF(Данные!$D239="…",Данные!$C239,Данные!D239)</f>
        <v>0</v>
      </c>
      <c r="G380" s="51">
        <f>Данные!$B239*IF(Данные!$D239="…",Данные!$C239,Данные!E239)</f>
        <v>0</v>
      </c>
      <c r="H380" s="51">
        <f>Данные!$B239*IF(Данные!$D239="…",Данные!$C239,Данные!F239)</f>
        <v>0</v>
      </c>
      <c r="I380" s="51">
        <f>Данные!$B239*IF(Данные!$D239="…",Данные!$C239,Данные!G239)</f>
        <v>0</v>
      </c>
      <c r="J380" s="51">
        <f>Данные!$B239*IF(Данные!$D239="…",Данные!$C239,Данные!H239)</f>
        <v>0</v>
      </c>
      <c r="K380" s="51">
        <f>Данные!$B239*IF(Данные!$D239="…",Данные!$C239,Данные!I239)</f>
        <v>0</v>
      </c>
      <c r="L380" s="51">
        <f>Данные!$B239*IF(Данные!$D239="…",Данные!$C239,Данные!J239)</f>
        <v>0</v>
      </c>
      <c r="M380" s="51">
        <f>Данные!$B239*IF(Данные!$D239="…",Данные!$C239,Данные!K239)</f>
        <v>0</v>
      </c>
      <c r="N380" s="51">
        <f>Данные!$B239*IF(Данные!$D239="…",Данные!$C239,Данные!L239)</f>
        <v>0</v>
      </c>
      <c r="O380" s="51">
        <f>Данные!$B239*IF(Данные!$D239="…",Данные!$C239,Данные!M239)</f>
        <v>0</v>
      </c>
      <c r="P380" s="51">
        <f>Данные!$B239*IF(Данные!$D239="…",Данные!$C239,Данные!N239)</f>
        <v>0</v>
      </c>
      <c r="Q380" s="51">
        <f>Данные!$B239*IF(Данные!$D239="…",Данные!$C239,Данные!O239)</f>
        <v>0</v>
      </c>
    </row>
    <row r="381" spans="1:17" ht="10.5">
      <c r="A381" s="228"/>
      <c r="B381" s="228"/>
      <c r="C381" s="228"/>
      <c r="D381" s="297"/>
      <c r="E381" s="51">
        <f>Данные!$B240*Данные!C240</f>
        <v>0</v>
      </c>
      <c r="F381" s="51">
        <f>Данные!$B240*IF(Данные!$D240="…",Данные!$C240,Данные!D240)</f>
        <v>0</v>
      </c>
      <c r="G381" s="51">
        <f>Данные!$B240*IF(Данные!$D240="…",Данные!$C240,Данные!E240)</f>
        <v>0</v>
      </c>
      <c r="H381" s="51">
        <f>Данные!$B240*IF(Данные!$D240="…",Данные!$C240,Данные!F240)</f>
        <v>0</v>
      </c>
      <c r="I381" s="51">
        <f>Данные!$B240*IF(Данные!$D240="…",Данные!$C240,Данные!G240)</f>
        <v>0</v>
      </c>
      <c r="J381" s="51">
        <f>Данные!$B240*IF(Данные!$D240="…",Данные!$C240,Данные!H240)</f>
        <v>0</v>
      </c>
      <c r="K381" s="51">
        <f>Данные!$B240*IF(Данные!$D240="…",Данные!$C240,Данные!I240)</f>
        <v>0</v>
      </c>
      <c r="L381" s="51">
        <f>Данные!$B240*IF(Данные!$D240="…",Данные!$C240,Данные!J240)</f>
        <v>0</v>
      </c>
      <c r="M381" s="51">
        <f>Данные!$B240*IF(Данные!$D240="…",Данные!$C240,Данные!K240)</f>
        <v>0</v>
      </c>
      <c r="N381" s="51">
        <f>Данные!$B240*IF(Данные!$D240="…",Данные!$C240,Данные!L240)</f>
        <v>0</v>
      </c>
      <c r="O381" s="51">
        <f>Данные!$B240*IF(Данные!$D240="…",Данные!$C240,Данные!M240)</f>
        <v>0</v>
      </c>
      <c r="P381" s="51">
        <f>Данные!$B240*IF(Данные!$D240="…",Данные!$C240,Данные!N240)</f>
        <v>0</v>
      </c>
      <c r="Q381" s="51">
        <f>Данные!$B240*IF(Данные!$D240="…",Данные!$C240,Данные!O240)</f>
        <v>0</v>
      </c>
    </row>
    <row r="382" spans="1:17" ht="10.5">
      <c r="A382" s="228"/>
      <c r="B382" s="228"/>
      <c r="C382" s="228"/>
      <c r="D382" s="297"/>
      <c r="E382" s="51">
        <f>Данные!$B241*Данные!C241</f>
        <v>0</v>
      </c>
      <c r="F382" s="51">
        <f>Данные!$B241*IF(Данные!$D241="…",Данные!$C241,Данные!D241)</f>
        <v>0</v>
      </c>
      <c r="G382" s="51">
        <f>Данные!$B241*IF(Данные!$D241="…",Данные!$C241,Данные!E241)</f>
        <v>0</v>
      </c>
      <c r="H382" s="51">
        <f>Данные!$B241*IF(Данные!$D241="…",Данные!$C241,Данные!F241)</f>
        <v>0</v>
      </c>
      <c r="I382" s="51">
        <f>Данные!$B241*IF(Данные!$D241="…",Данные!$C241,Данные!G241)</f>
        <v>0</v>
      </c>
      <c r="J382" s="51">
        <f>Данные!$B241*IF(Данные!$D241="…",Данные!$C241,Данные!H241)</f>
        <v>0</v>
      </c>
      <c r="K382" s="51">
        <f>Данные!$B241*IF(Данные!$D241="…",Данные!$C241,Данные!I241)</f>
        <v>0</v>
      </c>
      <c r="L382" s="51">
        <f>Данные!$B241*IF(Данные!$D241="…",Данные!$C241,Данные!J241)</f>
        <v>0</v>
      </c>
      <c r="M382" s="51">
        <f>Данные!$B241*IF(Данные!$D241="…",Данные!$C241,Данные!K241)</f>
        <v>0</v>
      </c>
      <c r="N382" s="51">
        <f>Данные!$B241*IF(Данные!$D241="…",Данные!$C241,Данные!L241)</f>
        <v>0</v>
      </c>
      <c r="O382" s="51">
        <f>Данные!$B241*IF(Данные!$D241="…",Данные!$C241,Данные!M241)</f>
        <v>0</v>
      </c>
      <c r="P382" s="51">
        <f>Данные!$B241*IF(Данные!$D241="…",Данные!$C241,Данные!N241)</f>
        <v>0</v>
      </c>
      <c r="Q382" s="51">
        <f>Данные!$B241*IF(Данные!$D241="…",Данные!$C241,Данные!O241)</f>
        <v>0</v>
      </c>
    </row>
    <row r="383" spans="1:17" ht="10.5">
      <c r="A383" s="228"/>
      <c r="B383" s="228"/>
      <c r="C383" s="228"/>
      <c r="D383" s="297"/>
      <c r="E383" s="51">
        <f>Данные!$B242*Данные!C242</f>
        <v>0</v>
      </c>
      <c r="F383" s="51">
        <f>Данные!$B242*IF(Данные!$D242="…",Данные!$C242,Данные!D242)</f>
        <v>0</v>
      </c>
      <c r="G383" s="51">
        <f>Данные!$B242*IF(Данные!$D242="…",Данные!$C242,Данные!E242)</f>
        <v>0</v>
      </c>
      <c r="H383" s="51">
        <f>Данные!$B242*IF(Данные!$D242="…",Данные!$C242,Данные!F242)</f>
        <v>0</v>
      </c>
      <c r="I383" s="51">
        <f>Данные!$B242*IF(Данные!$D242="…",Данные!$C242,Данные!G242)</f>
        <v>0</v>
      </c>
      <c r="J383" s="51">
        <f>Данные!$B242*IF(Данные!$D242="…",Данные!$C242,Данные!H242)</f>
        <v>0</v>
      </c>
      <c r="K383" s="51">
        <f>Данные!$B242*IF(Данные!$D242="…",Данные!$C242,Данные!I242)</f>
        <v>0</v>
      </c>
      <c r="L383" s="51">
        <f>Данные!$B242*IF(Данные!$D242="…",Данные!$C242,Данные!J242)</f>
        <v>0</v>
      </c>
      <c r="M383" s="51">
        <f>Данные!$B242*IF(Данные!$D242="…",Данные!$C242,Данные!K242)</f>
        <v>0</v>
      </c>
      <c r="N383" s="51">
        <f>Данные!$B242*IF(Данные!$D242="…",Данные!$C242,Данные!L242)</f>
        <v>0</v>
      </c>
      <c r="O383" s="51">
        <f>Данные!$B242*IF(Данные!$D242="…",Данные!$C242,Данные!M242)</f>
        <v>0</v>
      </c>
      <c r="P383" s="51">
        <f>Данные!$B242*IF(Данные!$D242="…",Данные!$C242,Данные!N242)</f>
        <v>0</v>
      </c>
      <c r="Q383" s="51">
        <f>Данные!$B242*IF(Данные!$D242="…",Данные!$C242,Данные!O242)</f>
        <v>0</v>
      </c>
    </row>
    <row r="384" spans="4:17" s="228" customFormat="1" ht="10.5">
      <c r="D384" s="297" t="s">
        <v>180</v>
      </c>
      <c r="E384" s="228">
        <f ca="1">IF(PERS_COUNT_3&gt;0,SUM(E377:OFFSET(E377,PERS_COUNT_3-1,0)),0)</f>
        <v>30000</v>
      </c>
      <c r="F384" s="228">
        <f ca="1">IF(PERS_COUNT_3&gt;0,SUM(F377:OFFSET(F377,PERS_COUNT_3-1,0)),0)</f>
        <v>30000</v>
      </c>
      <c r="G384" s="228">
        <f ca="1">IF(PERS_COUNT_3&gt;0,SUM(G377:OFFSET(G377,PERS_COUNT_3-1,0)),0)</f>
        <v>50000</v>
      </c>
      <c r="H384" s="228">
        <f ca="1">IF(PERS_COUNT_3&gt;0,SUM(H377:OFFSET(H377,PERS_COUNT_3-1,0)),0)</f>
        <v>50000</v>
      </c>
      <c r="I384" s="228">
        <f ca="1">IF(PERS_COUNT_3&gt;0,SUM(I377:OFFSET(I377,PERS_COUNT_3-1,0)),0)</f>
        <v>50000</v>
      </c>
      <c r="J384" s="228">
        <f ca="1">IF(PERS_COUNT_3&gt;0,SUM(J377:OFFSET(J377,PERS_COUNT_3-1,0)),0)</f>
        <v>50000</v>
      </c>
      <c r="K384" s="228">
        <f ca="1">IF(PERS_COUNT_3&gt;0,SUM(K377:OFFSET(K377,PERS_COUNT_3-1,0)),0)</f>
        <v>50000</v>
      </c>
      <c r="L384" s="228">
        <f ca="1">IF(PERS_COUNT_3&gt;0,SUM(L377:OFFSET(L377,PERS_COUNT_3-1,0)),0)</f>
        <v>50000</v>
      </c>
      <c r="M384" s="228">
        <f ca="1">IF(PERS_COUNT_3&gt;0,SUM(M377:OFFSET(M377,PERS_COUNT_3-1,0)),0)</f>
        <v>50000</v>
      </c>
      <c r="N384" s="228">
        <f ca="1">IF(PERS_COUNT_3&gt;0,SUM(N377:OFFSET(N377,PERS_COUNT_3-1,0)),0)</f>
        <v>50000</v>
      </c>
      <c r="O384" s="228">
        <f ca="1">IF(PERS_COUNT_3&gt;0,SUM(O377:OFFSET(O377,PERS_COUNT_3-1,0)),0)</f>
        <v>50000</v>
      </c>
      <c r="P384" s="228">
        <f ca="1">IF(PERS_COUNT_3&gt;0,SUM(P377:OFFSET(P377,PERS_COUNT_3-1,0)),0)</f>
        <v>50000</v>
      </c>
      <c r="Q384" s="228">
        <f ca="1">IF(PERS_COUNT_3&gt;0,SUM(Q377:OFFSET(Q377,PERS_COUNT_3-1,0)),0)</f>
        <v>50000</v>
      </c>
    </row>
    <row r="386" spans="1:5" s="298" customFormat="1" ht="10.5">
      <c r="A386" s="298" t="s">
        <v>156</v>
      </c>
      <c r="D386" s="299"/>
      <c r="E386" s="298" t="s">
        <v>157</v>
      </c>
    </row>
    <row r="387" spans="1:17" ht="10.5">
      <c r="A387" s="228"/>
      <c r="B387" s="228"/>
      <c r="C387" s="228"/>
      <c r="D387" s="297"/>
      <c r="E387" s="376">
        <f>Анализ!B51/POWER(1+DISCOUT_FOR_PER,Расчеты!B$1)</f>
        <v>0</v>
      </c>
      <c r="F387" s="376">
        <f>Анализ!C51/POWER(1+DISCOUT_FOR_PER,Расчеты!C$1)</f>
        <v>0</v>
      </c>
      <c r="G387" s="376">
        <f>Анализ!D51/POWER(1+DISCOUT_FOR_PER,Расчеты!D$1)</f>
        <v>0</v>
      </c>
      <c r="H387" s="376">
        <f>Анализ!E51/POWER(1+DISCOUT_FOR_PER,Расчеты!E$1)</f>
        <v>0</v>
      </c>
      <c r="I387" s="376">
        <f>Анализ!F51/POWER(1+DISCOUT_FOR_PER,Расчеты!F$1)</f>
        <v>0</v>
      </c>
      <c r="J387" s="376">
        <f>Анализ!G51/POWER(1+DISCOUT_FOR_PER,Расчеты!G$1)</f>
        <v>0</v>
      </c>
      <c r="K387" s="376">
        <f>Анализ!H51/POWER(1+DISCOUT_FOR_PER,Расчеты!H$1)</f>
        <v>0</v>
      </c>
      <c r="L387" s="376">
        <f>Анализ!I51/POWER(1+DISCOUT_FOR_PER,Расчеты!I$1)</f>
        <v>0</v>
      </c>
      <c r="M387" s="376">
        <f>Анализ!J51/POWER(1+DISCOUT_FOR_PER,Расчеты!J$1)</f>
        <v>0</v>
      </c>
      <c r="N387" s="376">
        <f>Анализ!K51/POWER(1+DISCOUT_FOR_PER,Расчеты!K$1)</f>
        <v>0</v>
      </c>
      <c r="O387" s="376">
        <f>Анализ!L51/POWER(1+DISCOUT_FOR_PER,Расчеты!L$1)</f>
        <v>0</v>
      </c>
      <c r="P387" s="376">
        <f>Анализ!M51/POWER(1+DISCOUT_FOR_PER,Расчеты!M$1)</f>
        <v>0</v>
      </c>
      <c r="Q387" s="376">
        <f>Анализ!N51/POWER(1+DISCOUT_FOR_PER,Расчеты!N$1)</f>
        <v>0</v>
      </c>
    </row>
    <row r="388" spans="4:17" s="228" customFormat="1" ht="10.5">
      <c r="D388" s="297" t="s">
        <v>180</v>
      </c>
      <c r="E388" s="391">
        <f ca="1">IF(SHARES_NUM&gt;0,SUM(E387:OFFSET(E387,SHARES_NUM-1,0)),0)</f>
        <v>0</v>
      </c>
      <c r="F388" s="391">
        <f ca="1">IF(SHARES_NUM&gt;0,SUM(F387:OFFSET(F387,SHARES_NUM-1,0)),0)</f>
        <v>0</v>
      </c>
      <c r="G388" s="391">
        <f ca="1">IF(SHARES_NUM&gt;0,SUM(G387:OFFSET(G387,SHARES_NUM-1,0)),0)</f>
        <v>0</v>
      </c>
      <c r="H388" s="391">
        <f ca="1">IF(SHARES_NUM&gt;0,SUM(H387:OFFSET(H387,SHARES_NUM-1,0)),0)</f>
        <v>0</v>
      </c>
      <c r="I388" s="391">
        <f ca="1">IF(SHARES_NUM&gt;0,SUM(I387:OFFSET(I387,SHARES_NUM-1,0)),0)</f>
        <v>0</v>
      </c>
      <c r="J388" s="391">
        <f ca="1">IF(SHARES_NUM&gt;0,SUM(J387:OFFSET(J387,SHARES_NUM-1,0)),0)</f>
        <v>0</v>
      </c>
      <c r="K388" s="391">
        <f ca="1">IF(SHARES_NUM&gt;0,SUM(K387:OFFSET(K387,SHARES_NUM-1,0)),0)</f>
        <v>0</v>
      </c>
      <c r="L388" s="391">
        <f ca="1">IF(SHARES_NUM&gt;0,SUM(L387:OFFSET(L387,SHARES_NUM-1,0)),0)</f>
        <v>0</v>
      </c>
      <c r="M388" s="391">
        <f ca="1">IF(SHARES_NUM&gt;0,SUM(M387:OFFSET(M387,SHARES_NUM-1,0)),0)</f>
        <v>0</v>
      </c>
      <c r="N388" s="391">
        <f ca="1">IF(SHARES_NUM&gt;0,SUM(N387:OFFSET(N387,SHARES_NUM-1,0)),0)</f>
        <v>0</v>
      </c>
      <c r="O388" s="391">
        <f ca="1">IF(SHARES_NUM&gt;0,SUM(O387:OFFSET(O387,SHARES_NUM-1,0)),0)</f>
        <v>0</v>
      </c>
      <c r="P388" s="391">
        <f ca="1">IF(SHARES_NUM&gt;0,SUM(P387:OFFSET(P387,SHARES_NUM-1,0)),0)</f>
        <v>0</v>
      </c>
      <c r="Q388" s="391">
        <f ca="1">IF(SHARES_NUM&gt;0,SUM(Q387:OFFSET(Q387,SHARES_NUM-1,0)),0)</f>
        <v>0</v>
      </c>
    </row>
    <row r="389" spans="1:5" s="298" customFormat="1" ht="10.5">
      <c r="A389" s="298" t="s">
        <v>156</v>
      </c>
      <c r="D389" s="299"/>
      <c r="E389" s="298" t="s">
        <v>158</v>
      </c>
    </row>
    <row r="390" spans="1:17" ht="10.5">
      <c r="A390" s="228"/>
      <c r="B390" s="228"/>
      <c r="C390" s="228"/>
      <c r="D390" s="297"/>
      <c r="E390" s="376">
        <f>SUM($E387:E387)</f>
        <v>0</v>
      </c>
      <c r="F390" s="376">
        <f>SUM($E387:F387)</f>
        <v>0</v>
      </c>
      <c r="G390" s="376">
        <f>SUM($E387:G387)</f>
        <v>0</v>
      </c>
      <c r="H390" s="376">
        <f>SUM($E387:H387)</f>
        <v>0</v>
      </c>
      <c r="I390" s="376">
        <f>SUM($E387:I387)</f>
        <v>0</v>
      </c>
      <c r="J390" s="376">
        <f>SUM($E387:J387)</f>
        <v>0</v>
      </c>
      <c r="K390" s="376">
        <f>SUM($E387:K387)</f>
        <v>0</v>
      </c>
      <c r="L390" s="376">
        <f>SUM($E387:L387)</f>
        <v>0</v>
      </c>
      <c r="M390" s="376">
        <f>SUM($E387:M387)</f>
        <v>0</v>
      </c>
      <c r="N390" s="376">
        <f>SUM($E387:N387)</f>
        <v>0</v>
      </c>
      <c r="O390" s="376">
        <f>SUM($E387:O387)</f>
        <v>0</v>
      </c>
      <c r="P390" s="376">
        <f>SUM($E387:P387)</f>
        <v>0</v>
      </c>
      <c r="Q390" s="376">
        <f>SUM($E387:Q387)</f>
        <v>0</v>
      </c>
    </row>
    <row r="391" spans="4:17" s="228" customFormat="1" ht="10.5">
      <c r="D391" s="297" t="s">
        <v>180</v>
      </c>
      <c r="E391" s="391">
        <f ca="1">IF(SHARES_NUM&gt;0,SUM(E390:OFFSET(E390,SHARES_NUM-1,0)),0)</f>
        <v>0</v>
      </c>
      <c r="F391" s="391">
        <f ca="1">IF(SHARES_NUM&gt;0,SUM(F390:OFFSET(F390,SHARES_NUM-1,0)),0)</f>
        <v>0</v>
      </c>
      <c r="G391" s="391">
        <f ca="1">IF(SHARES_NUM&gt;0,SUM(G390:OFFSET(G390,SHARES_NUM-1,0)),0)</f>
        <v>0</v>
      </c>
      <c r="H391" s="391">
        <f ca="1">IF(SHARES_NUM&gt;0,SUM(H390:OFFSET(H390,SHARES_NUM-1,0)),0)</f>
        <v>0</v>
      </c>
      <c r="I391" s="391">
        <f ca="1">IF(SHARES_NUM&gt;0,SUM(I390:OFFSET(I390,SHARES_NUM-1,0)),0)</f>
        <v>0</v>
      </c>
      <c r="J391" s="391">
        <f ca="1">IF(SHARES_NUM&gt;0,SUM(J390:OFFSET(J390,SHARES_NUM-1,0)),0)</f>
        <v>0</v>
      </c>
      <c r="K391" s="391">
        <f ca="1">IF(SHARES_NUM&gt;0,SUM(K390:OFFSET(K390,SHARES_NUM-1,0)),0)</f>
        <v>0</v>
      </c>
      <c r="L391" s="391">
        <f ca="1">IF(SHARES_NUM&gt;0,SUM(L390:OFFSET(L390,SHARES_NUM-1,0)),0)</f>
        <v>0</v>
      </c>
      <c r="M391" s="391">
        <f ca="1">IF(SHARES_NUM&gt;0,SUM(M390:OFFSET(M390,SHARES_NUM-1,0)),0)</f>
        <v>0</v>
      </c>
      <c r="N391" s="391">
        <f ca="1">IF(SHARES_NUM&gt;0,SUM(N390:OFFSET(N390,SHARES_NUM-1,0)),0)</f>
        <v>0</v>
      </c>
      <c r="O391" s="391">
        <f ca="1">IF(SHARES_NUM&gt;0,SUM(O390:OFFSET(O390,SHARES_NUM-1,0)),0)</f>
        <v>0</v>
      </c>
      <c r="P391" s="391">
        <f ca="1">IF(SHARES_NUM&gt;0,SUM(P390:OFFSET(P390,SHARES_NUM-1,0)),0)</f>
        <v>0</v>
      </c>
      <c r="Q391" s="391">
        <f ca="1">IF(SHARES_NUM&gt;0,SUM(Q390:OFFSET(Q390,SHARES_NUM-1,0)),0)</f>
        <v>0</v>
      </c>
    </row>
    <row r="392" spans="1:5" s="298" customFormat="1" ht="10.5">
      <c r="A392" s="298" t="s">
        <v>156</v>
      </c>
      <c r="D392" s="299"/>
      <c r="E392" s="298" t="s">
        <v>159</v>
      </c>
    </row>
    <row r="393" spans="1:17" ht="10.5">
      <c r="A393" s="228"/>
      <c r="B393" s="228"/>
      <c r="C393" s="228"/>
      <c r="D393" s="395">
        <f>-Данные!B268</f>
        <v>0</v>
      </c>
      <c r="E393" s="376">
        <f>Анализ!B51</f>
        <v>0</v>
      </c>
      <c r="F393" s="376">
        <f>Анализ!C51</f>
        <v>0</v>
      </c>
      <c r="G393" s="376">
        <f>Анализ!D51</f>
        <v>0</v>
      </c>
      <c r="H393" s="376">
        <f>Анализ!E51</f>
        <v>0</v>
      </c>
      <c r="I393" s="376">
        <f>Анализ!F51</f>
        <v>0</v>
      </c>
      <c r="J393" s="376">
        <f>Анализ!G51</f>
        <v>0</v>
      </c>
      <c r="K393" s="376">
        <f>Анализ!H51</f>
        <v>0</v>
      </c>
      <c r="L393" s="376">
        <f>Анализ!I51</f>
        <v>0</v>
      </c>
      <c r="M393" s="376">
        <f>Анализ!J51</f>
        <v>0</v>
      </c>
      <c r="N393" s="376">
        <f>Анализ!K51</f>
        <v>0</v>
      </c>
      <c r="O393" s="376">
        <f>Анализ!L51</f>
        <v>0</v>
      </c>
      <c r="P393" s="376">
        <f>Анализ!M51</f>
        <v>0</v>
      </c>
      <c r="Q393" s="376">
        <f>Анализ!N51</f>
        <v>0</v>
      </c>
    </row>
    <row r="394" spans="4:17" s="228" customFormat="1" ht="10.5">
      <c r="D394" s="297" t="s">
        <v>180</v>
      </c>
      <c r="E394" s="391">
        <f ca="1">IF(SHARES_NUM&gt;0,SUM(E393:OFFSET(E393,SHARES_NUM-1,0)),0)</f>
        <v>0</v>
      </c>
      <c r="F394" s="391">
        <f ca="1">IF(SHARES_NUM&gt;0,SUM(F393:OFFSET(F393,SHARES_NUM-1,0)),0)</f>
        <v>0</v>
      </c>
      <c r="G394" s="391">
        <f ca="1">IF(SHARES_NUM&gt;0,SUM(G393:OFFSET(G393,SHARES_NUM-1,0)),0)</f>
        <v>0</v>
      </c>
      <c r="H394" s="391">
        <f ca="1">IF(SHARES_NUM&gt;0,SUM(H393:OFFSET(H393,SHARES_NUM-1,0)),0)</f>
        <v>0</v>
      </c>
      <c r="I394" s="391">
        <f ca="1">IF(SHARES_NUM&gt;0,SUM(I393:OFFSET(I393,SHARES_NUM-1,0)),0)</f>
        <v>0</v>
      </c>
      <c r="J394" s="391">
        <f ca="1">IF(SHARES_NUM&gt;0,SUM(J393:OFFSET(J393,SHARES_NUM-1,0)),0)</f>
        <v>0</v>
      </c>
      <c r="K394" s="391">
        <f ca="1">IF(SHARES_NUM&gt;0,SUM(K393:OFFSET(K393,SHARES_NUM-1,0)),0)</f>
        <v>0</v>
      </c>
      <c r="L394" s="391">
        <f ca="1">IF(SHARES_NUM&gt;0,SUM(L393:OFFSET(L393,SHARES_NUM-1,0)),0)</f>
        <v>0</v>
      </c>
      <c r="M394" s="391">
        <f ca="1">IF(SHARES_NUM&gt;0,SUM(M393:OFFSET(M393,SHARES_NUM-1,0)),0)</f>
        <v>0</v>
      </c>
      <c r="N394" s="391">
        <f ca="1">IF(SHARES_NUM&gt;0,SUM(N393:OFFSET(N393,SHARES_NUM-1,0)),0)</f>
        <v>0</v>
      </c>
      <c r="O394" s="391">
        <f ca="1">IF(SHARES_NUM&gt;0,SUM(O393:OFFSET(O393,SHARES_NUM-1,0)),0)</f>
        <v>0</v>
      </c>
      <c r="P394" s="391">
        <f ca="1">IF(SHARES_NUM&gt;0,SUM(P393:OFFSET(P393,SHARES_NUM-1,0)),0)</f>
        <v>0</v>
      </c>
      <c r="Q394" s="391">
        <f ca="1">IF(SHARES_NUM&gt;0,SUM(Q393:OFFSET(Q393,SHARES_NUM-1,0)),0)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22">
      <selection activeCell="A1" sqref="A1"/>
    </sheetView>
  </sheetViews>
  <sheetFormatPr defaultColWidth="9.125" defaultRowHeight="12.75"/>
  <cols>
    <col min="1" max="1" width="34.625" style="51" customWidth="1"/>
    <col min="2" max="14" width="8.75390625" style="51" customWidth="1"/>
    <col min="15" max="16384" width="9.125" style="51" customWidth="1"/>
  </cols>
  <sheetData>
    <row r="1" spans="1:14" ht="10.5">
      <c r="A1" s="130" t="s">
        <v>211</v>
      </c>
      <c r="B1" s="131">
        <v>1</v>
      </c>
      <c r="C1" s="131">
        <v>2</v>
      </c>
      <c r="D1" s="131">
        <v>3</v>
      </c>
      <c r="E1" s="131">
        <v>4</v>
      </c>
      <c r="F1" s="131">
        <v>5</v>
      </c>
      <c r="G1" s="131">
        <v>6</v>
      </c>
      <c r="H1" s="131">
        <v>7</v>
      </c>
      <c r="I1" s="131">
        <v>8</v>
      </c>
      <c r="J1" s="131">
        <v>9</v>
      </c>
      <c r="K1" s="131">
        <v>10</v>
      </c>
      <c r="L1" s="131">
        <v>11</v>
      </c>
      <c r="M1" s="131">
        <v>12</v>
      </c>
      <c r="N1" s="131">
        <v>13</v>
      </c>
    </row>
    <row r="2" spans="1:14" ht="10.5">
      <c r="A2" s="132" t="s">
        <v>212</v>
      </c>
      <c r="B2" s="133">
        <f>DATE(B11,B9+1,1)</f>
        <v>37196</v>
      </c>
      <c r="C2" s="133">
        <f>DATE(YEAR(B2),MONTH(B2)+$B$7,1)</f>
        <v>37226</v>
      </c>
      <c r="D2" s="133">
        <f>DATE(YEAR(C2),MONTH(C2)+$B$7,1)</f>
        <v>37257</v>
      </c>
      <c r="E2" s="133">
        <f>DATE(YEAR(D2),MONTH(D2)+$B$7,1)</f>
        <v>37288</v>
      </c>
      <c r="F2" s="133">
        <f>DATE(YEAR(E2),MONTH(E2)+$B$7,1)</f>
        <v>37316</v>
      </c>
      <c r="G2" s="133">
        <f>DATE(YEAR(F2),MONTH(F2)+$B$7,1)</f>
        <v>37347</v>
      </c>
      <c r="H2" s="133">
        <f aca="true" t="shared" si="0" ref="H2:N2">DATE(YEAR(G2),MONTH(G2)+$B$7,1)</f>
        <v>37377</v>
      </c>
      <c r="I2" s="133">
        <f t="shared" si="0"/>
        <v>37408</v>
      </c>
      <c r="J2" s="133">
        <f t="shared" si="0"/>
        <v>37438</v>
      </c>
      <c r="K2" s="133">
        <f t="shared" si="0"/>
        <v>37469</v>
      </c>
      <c r="L2" s="133">
        <f t="shared" si="0"/>
        <v>37500</v>
      </c>
      <c r="M2" s="133">
        <f t="shared" si="0"/>
        <v>37530</v>
      </c>
      <c r="N2" s="133">
        <f t="shared" si="0"/>
        <v>37561</v>
      </c>
    </row>
    <row r="3" spans="1:14" ht="10.5">
      <c r="A3" s="134" t="s">
        <v>213</v>
      </c>
      <c r="B3" s="135" t="str">
        <f aca="true" t="shared" si="1" ref="B3:G3">CHOOSE($B$6+1,MONTH(B2)&amp;"/",ROUNDUP(MONTH(B2)/3,0)&amp;IF(CURLANGUAGE=1," кв./"," q./"),ROUNDUP(MONTH(B2)/6,0)&amp;"/","")&amp;YEAR(B2)</f>
        <v>11/2001</v>
      </c>
      <c r="C3" s="135" t="str">
        <f t="shared" si="1"/>
        <v>12/2001</v>
      </c>
      <c r="D3" s="135" t="str">
        <f t="shared" si="1"/>
        <v>1/2002</v>
      </c>
      <c r="E3" s="135" t="str">
        <f t="shared" si="1"/>
        <v>2/2002</v>
      </c>
      <c r="F3" s="135" t="str">
        <f t="shared" si="1"/>
        <v>3/2002</v>
      </c>
      <c r="G3" s="135" t="str">
        <f t="shared" si="1"/>
        <v>4/2002</v>
      </c>
      <c r="H3" s="135" t="str">
        <f aca="true" t="shared" si="2" ref="H3:N3">CHOOSE($B$6+1,MONTH(H2)&amp;"/",ROUNDUP(MONTH(H2)/3,0)&amp;IF(CURLANGUAGE=1," кв./"," q./"),ROUNDUP(MONTH(H2)/6,0)&amp;"/","")&amp;YEAR(H2)</f>
        <v>5/2002</v>
      </c>
      <c r="I3" s="135" t="str">
        <f t="shared" si="2"/>
        <v>6/2002</v>
      </c>
      <c r="J3" s="135" t="str">
        <f t="shared" si="2"/>
        <v>7/2002</v>
      </c>
      <c r="K3" s="135" t="str">
        <f t="shared" si="2"/>
        <v>8/2002</v>
      </c>
      <c r="L3" s="135" t="str">
        <f t="shared" si="2"/>
        <v>9/2002</v>
      </c>
      <c r="M3" s="135" t="str">
        <f t="shared" si="2"/>
        <v>10/2002</v>
      </c>
      <c r="N3" s="135" t="str">
        <f t="shared" si="2"/>
        <v>11/2002</v>
      </c>
    </row>
    <row r="5" spans="1:3" s="136" customFormat="1" ht="12.75" customHeight="1">
      <c r="A5" s="136" t="s">
        <v>117</v>
      </c>
      <c r="B5" s="388">
        <v>1</v>
      </c>
      <c r="C5" s="389" t="s">
        <v>118</v>
      </c>
    </row>
    <row r="6" spans="1:3" ht="10.5">
      <c r="A6" s="137" t="s">
        <v>359</v>
      </c>
      <c r="B6" s="138">
        <v>0</v>
      </c>
      <c r="C6" s="349" t="s">
        <v>119</v>
      </c>
    </row>
    <row r="7" spans="1:3" ht="10.5">
      <c r="A7" s="137" t="s">
        <v>360</v>
      </c>
      <c r="B7" s="138">
        <f>CHOOSE(B6+1,1,3,6,12)</f>
        <v>1</v>
      </c>
      <c r="C7" s="138"/>
    </row>
    <row r="8" spans="1:3" ht="10.5">
      <c r="A8" s="137" t="s">
        <v>361</v>
      </c>
      <c r="B8" s="138">
        <v>13</v>
      </c>
      <c r="C8" s="138"/>
    </row>
    <row r="9" spans="1:3" ht="10.5">
      <c r="A9" s="51" t="s">
        <v>362</v>
      </c>
      <c r="B9" s="138">
        <v>10</v>
      </c>
      <c r="C9" s="138"/>
    </row>
    <row r="10" spans="1:3" ht="10.5">
      <c r="A10" s="137" t="s">
        <v>363</v>
      </c>
      <c r="B10" s="139">
        <v>3</v>
      </c>
      <c r="C10" s="138"/>
    </row>
    <row r="11" spans="1:3" ht="10.5">
      <c r="A11" s="137" t="s">
        <v>364</v>
      </c>
      <c r="B11" s="138">
        <f>1998+B10</f>
        <v>2001</v>
      </c>
      <c r="C11" s="138"/>
    </row>
    <row r="12" spans="1:3" ht="10.5">
      <c r="A12" s="137"/>
      <c r="B12" s="138"/>
      <c r="C12" s="138"/>
    </row>
    <row r="13" spans="1:3" ht="10.5">
      <c r="A13" s="140" t="s">
        <v>334</v>
      </c>
      <c r="B13" s="138">
        <v>5</v>
      </c>
      <c r="C13" s="138"/>
    </row>
    <row r="14" ht="10.5">
      <c r="C14" s="138"/>
    </row>
    <row r="15" spans="1:3" ht="10.5">
      <c r="A15" s="247" t="s">
        <v>61</v>
      </c>
      <c r="B15" s="340">
        <v>0</v>
      </c>
      <c r="C15" s="138"/>
    </row>
    <row r="16" spans="1:3" ht="10.5">
      <c r="A16" s="249" t="s">
        <v>62</v>
      </c>
      <c r="B16" s="341">
        <v>4</v>
      </c>
      <c r="C16" s="138"/>
    </row>
    <row r="17" spans="1:3" ht="10.5">
      <c r="A17" s="249" t="s">
        <v>63</v>
      </c>
      <c r="B17" s="341">
        <v>2</v>
      </c>
      <c r="C17" s="138"/>
    </row>
    <row r="18" spans="1:3" ht="10.5">
      <c r="A18" s="249" t="s">
        <v>89</v>
      </c>
      <c r="B18" s="341">
        <v>5</v>
      </c>
      <c r="C18" s="138"/>
    </row>
    <row r="19" spans="1:3" ht="10.5">
      <c r="A19" s="251" t="s">
        <v>90</v>
      </c>
      <c r="B19" s="342">
        <v>4</v>
      </c>
      <c r="C19" s="138"/>
    </row>
    <row r="20" spans="1:3" ht="10.5">
      <c r="A20" s="140"/>
      <c r="B20" s="138"/>
      <c r="C20" s="138"/>
    </row>
    <row r="21" spans="1:3" ht="10.5">
      <c r="A21" s="140" t="s">
        <v>218</v>
      </c>
      <c r="B21" s="138">
        <v>1</v>
      </c>
      <c r="C21" s="349" t="s">
        <v>366</v>
      </c>
    </row>
    <row r="22" spans="1:3" ht="10.5">
      <c r="A22" s="140" t="s">
        <v>224</v>
      </c>
      <c r="B22" s="138">
        <v>1</v>
      </c>
      <c r="C22" s="138"/>
    </row>
    <row r="23" spans="1:3" ht="10.5">
      <c r="A23" s="51" t="s">
        <v>225</v>
      </c>
      <c r="B23" s="139">
        <v>1</v>
      </c>
      <c r="C23" s="138"/>
    </row>
    <row r="24" spans="1:3" ht="10.5">
      <c r="A24" s="51" t="s">
        <v>226</v>
      </c>
      <c r="B24" s="139">
        <v>1</v>
      </c>
      <c r="C24" s="138"/>
    </row>
    <row r="25" spans="1:3" ht="10.5">
      <c r="A25" s="129"/>
      <c r="C25" s="138"/>
    </row>
    <row r="26" spans="1:14" ht="10.5">
      <c r="A26" s="51" t="s">
        <v>243</v>
      </c>
      <c r="B26" s="147">
        <f>POWER(1+Данные!$B$46,0.0833333*$B$7)-1</f>
        <v>0.015309464329304356</v>
      </c>
      <c r="C26" s="141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</row>
    <row r="27" spans="1:3" ht="10.5">
      <c r="A27" s="51" t="s">
        <v>365</v>
      </c>
      <c r="B27" s="142" t="str">
        <f>IF(ABS(SUM(Баланс!B16:D16)-SUM(Баланс!B25:D25))&lt;1,"OK","Ошибка!")</f>
        <v>OK</v>
      </c>
      <c r="C27" s="139"/>
    </row>
    <row r="28" spans="1:14" ht="10.5">
      <c r="A28" s="50" t="s">
        <v>504</v>
      </c>
      <c r="B28" s="386">
        <f>SIGN(Анализ!B43)</f>
        <v>-1</v>
      </c>
      <c r="C28" s="386">
        <f>SIGN(Анализ!C43)</f>
        <v>-1</v>
      </c>
      <c r="D28" s="386">
        <f>SIGN(Анализ!D43)</f>
        <v>-1</v>
      </c>
      <c r="E28" s="386">
        <f>SIGN(Анализ!E43)</f>
        <v>-1</v>
      </c>
      <c r="F28" s="386">
        <f>SIGN(Анализ!F43)</f>
        <v>-1</v>
      </c>
      <c r="G28" s="386">
        <f>SIGN(Анализ!G43)</f>
        <v>-1</v>
      </c>
      <c r="H28" s="386">
        <f>SIGN(Анализ!H43)</f>
        <v>-1</v>
      </c>
      <c r="I28" s="386">
        <f>SIGN(Анализ!I43)</f>
        <v>-1</v>
      </c>
      <c r="J28" s="386">
        <f>SIGN(Анализ!J43)</f>
        <v>-1</v>
      </c>
      <c r="K28" s="386">
        <f>SIGN(Анализ!K43)</f>
        <v>-1</v>
      </c>
      <c r="L28" s="386">
        <f>SIGN(Анализ!L43)</f>
        <v>1</v>
      </c>
      <c r="M28" s="386">
        <f>SIGN(Анализ!M43)</f>
        <v>1</v>
      </c>
      <c r="N28" s="386">
        <f>SIGN(Анализ!N43)</f>
        <v>1</v>
      </c>
    </row>
    <row r="29" spans="1:3" ht="10.5">
      <c r="A29" s="387" t="s">
        <v>505</v>
      </c>
      <c r="B29" s="387">
        <f ca="1">(MATCH(1,B28:OFFSET(B28,0,PRJ_DURATION-1),0)-1)*PERIOD_LEN</f>
        <v>10</v>
      </c>
      <c r="C29" s="139">
        <f>IF(ISERROR(B29),"&gt; "&amp;PRJ_DURATION,B29)</f>
        <v>10</v>
      </c>
    </row>
    <row r="30" spans="2:3" ht="10.5">
      <c r="B30" s="51">
        <f ca="1">(POWER(1+IRR(Анализ!$B$41:OFFSET(Анализ!B41,0,PRJ_DURATION-1),0.1),12/PERIOD_LEN)-1)*100</f>
        <v>296.430148581991</v>
      </c>
      <c r="C30" s="139">
        <f>IF(ISERROR(B30),"-",B30)</f>
        <v>296.430148581991</v>
      </c>
    </row>
    <row r="32" spans="1:3" ht="10.5">
      <c r="A32" s="129" t="s">
        <v>506</v>
      </c>
      <c r="B32" s="143" t="s">
        <v>507</v>
      </c>
      <c r="C32" s="143" t="s">
        <v>508</v>
      </c>
    </row>
    <row r="33" spans="1:3" ht="10.5">
      <c r="A33" s="51" t="s">
        <v>509</v>
      </c>
      <c r="B33" s="51">
        <f>INT(DEBIT_PERIOD/30/PERIOD_LEN)</f>
        <v>0</v>
      </c>
      <c r="C33" s="51">
        <f>DEBIT_PERIOD/30/PERIOD_LEN-DEBIT_INT</f>
        <v>0</v>
      </c>
    </row>
    <row r="34" spans="1:3" ht="10.5">
      <c r="A34" s="51" t="s">
        <v>370</v>
      </c>
      <c r="B34" s="51">
        <f>INT(CREDIT_PERIOD/30/PERIOD_LEN)</f>
        <v>0</v>
      </c>
      <c r="C34" s="51">
        <f>CREDIT_PERIOD/30/PERIOD_LEN-CREDIT_INT</f>
        <v>0</v>
      </c>
    </row>
    <row r="35" spans="1:3" ht="10.5">
      <c r="A35" s="51" t="s">
        <v>393</v>
      </c>
      <c r="B35" s="51">
        <f>INT(INVENT_PERIOD/30/PERIOD_LEN)</f>
        <v>0</v>
      </c>
      <c r="C35" s="51">
        <f>INVENT_PERIOD/30/PERIOD_LEN-INVENT_INT</f>
        <v>0</v>
      </c>
    </row>
    <row r="37" spans="1:3" ht="10.5">
      <c r="A37" s="51" t="s">
        <v>371</v>
      </c>
      <c r="C37" s="144">
        <v>0.2</v>
      </c>
    </row>
    <row r="38" spans="1:3" ht="10.5">
      <c r="A38" s="247" t="s">
        <v>372</v>
      </c>
      <c r="B38" s="248" t="s">
        <v>373</v>
      </c>
      <c r="C38" s="144">
        <v>0.25</v>
      </c>
    </row>
    <row r="39" spans="1:3" ht="10.5">
      <c r="A39" s="249"/>
      <c r="B39" s="250" t="s">
        <v>374</v>
      </c>
      <c r="C39" s="144">
        <v>0.3</v>
      </c>
    </row>
    <row r="40" spans="1:3" ht="10.5">
      <c r="A40" s="251" t="s">
        <v>375</v>
      </c>
      <c r="B40" s="252">
        <v>1</v>
      </c>
      <c r="C40" s="144">
        <v>0.35</v>
      </c>
    </row>
    <row r="41" spans="1:3" ht="10.5">
      <c r="A41" s="51" t="s">
        <v>376</v>
      </c>
      <c r="B41" s="51">
        <v>60</v>
      </c>
      <c r="C41" s="144">
        <v>0.4</v>
      </c>
    </row>
    <row r="42" ht="10.5">
      <c r="C42" s="144">
        <v>0.45</v>
      </c>
    </row>
    <row r="43" spans="1:3" ht="10.5">
      <c r="A43" s="140" t="s">
        <v>207</v>
      </c>
      <c r="B43" s="145">
        <f ca="1">MIN('Кэш-фло'!B25:OFFSET('Кэш-фло'!B25,0,PRJ_DURATION-1))</f>
        <v>-1481875</v>
      </c>
      <c r="C43" s="144">
        <v>0.5</v>
      </c>
    </row>
    <row r="44" spans="1:2" ht="10.5">
      <c r="A44" s="146" t="s">
        <v>377</v>
      </c>
      <c r="B44" s="51">
        <v>7</v>
      </c>
    </row>
    <row r="45" ht="10.5">
      <c r="A45" s="146"/>
    </row>
    <row r="46" spans="1:3" ht="10.5">
      <c r="A46" s="146" t="s">
        <v>378</v>
      </c>
      <c r="B46" s="139"/>
      <c r="C46" s="139"/>
    </row>
    <row r="47" spans="2:3" ht="10.5">
      <c r="B47" s="139" t="s">
        <v>379</v>
      </c>
      <c r="C47" s="139"/>
    </row>
    <row r="48" spans="1:3" ht="10.5">
      <c r="A48" s="146" t="s">
        <v>380</v>
      </c>
      <c r="B48" s="139">
        <v>9</v>
      </c>
      <c r="C48" s="139"/>
    </row>
    <row r="49" spans="1:3" ht="10.5">
      <c r="A49" s="146" t="s">
        <v>381</v>
      </c>
      <c r="B49" s="139">
        <v>8</v>
      </c>
      <c r="C49" s="139"/>
    </row>
    <row r="50" spans="1:3" ht="10.5">
      <c r="A50" s="146" t="s">
        <v>382</v>
      </c>
      <c r="B50" s="139">
        <v>12</v>
      </c>
      <c r="C50" s="139"/>
    </row>
    <row r="51" spans="1:3" ht="10.5">
      <c r="A51" s="146" t="s">
        <v>239</v>
      </c>
      <c r="B51" s="139">
        <v>18</v>
      </c>
      <c r="C51" s="139"/>
    </row>
    <row r="52" spans="1:3" ht="10.5">
      <c r="A52" s="146" t="s">
        <v>240</v>
      </c>
      <c r="B52" s="139">
        <v>12</v>
      </c>
      <c r="C52" s="139"/>
    </row>
    <row r="53" spans="1:3" ht="10.5">
      <c r="A53" s="146" t="s">
        <v>241</v>
      </c>
      <c r="B53" s="139">
        <v>7</v>
      </c>
      <c r="C53" s="139"/>
    </row>
    <row r="54" ht="10.5">
      <c r="A54" s="146"/>
    </row>
    <row r="55" spans="1:14" ht="10.5">
      <c r="A55" s="155" t="s">
        <v>116</v>
      </c>
      <c r="B55" s="254">
        <v>1</v>
      </c>
      <c r="C55" s="255" t="str">
        <f ca="1">OFFSET(C56,B55-1,)</f>
        <v>руб.</v>
      </c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</row>
    <row r="56" spans="1:14" ht="10.5">
      <c r="A56" s="155"/>
      <c r="B56" s="256" t="s">
        <v>304</v>
      </c>
      <c r="C56" s="257" t="s">
        <v>417</v>
      </c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</row>
    <row r="57" spans="1:14" ht="10.5">
      <c r="A57" s="155"/>
      <c r="B57" s="256" t="s">
        <v>305</v>
      </c>
      <c r="C57" s="257" t="s">
        <v>481</v>
      </c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</row>
    <row r="58" spans="1:14" ht="10.5">
      <c r="A58" s="155"/>
      <c r="B58" s="256" t="s">
        <v>306</v>
      </c>
      <c r="C58" s="257" t="s">
        <v>309</v>
      </c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</row>
    <row r="59" spans="1:14" ht="10.5">
      <c r="A59" s="155"/>
      <c r="B59" s="258" t="s">
        <v>307</v>
      </c>
      <c r="C59" s="259" t="s">
        <v>308</v>
      </c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</row>
    <row r="60" spans="1:14" ht="10.5">
      <c r="A60" s="155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</row>
    <row r="61" spans="1:14" ht="10.5">
      <c r="A61" s="155" t="s">
        <v>286</v>
      </c>
      <c r="B61" s="253">
        <v>0</v>
      </c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</row>
    <row r="62" ht="10.5">
      <c r="A62" s="146"/>
    </row>
    <row r="63" s="228" customFormat="1" ht="18" customHeight="1">
      <c r="A63" s="227"/>
    </row>
    <row r="64" ht="12">
      <c r="A64" s="146"/>
    </row>
    <row r="65" ht="10.5">
      <c r="A65" s="146"/>
    </row>
    <row r="66" ht="10.5">
      <c r="A66" s="146"/>
    </row>
    <row r="67" ht="10.5">
      <c r="A67" s="14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Рябых</dc:creator>
  <cp:keywords/>
  <dc:description/>
  <cp:lastModifiedBy>mac</cp:lastModifiedBy>
  <cp:lastPrinted>2004-02-29T04:40:15Z</cp:lastPrinted>
  <dcterms:created xsi:type="dcterms:W3CDTF">2002-10-09T18:05:02Z</dcterms:created>
  <dcterms:modified xsi:type="dcterms:W3CDTF">2012-09-17T09:50:40Z</dcterms:modified>
  <cp:category/>
  <cp:version/>
  <cp:contentType/>
  <cp:contentStatus/>
</cp:coreProperties>
</file>