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firstSheet="1" activeTab="1"/>
  </bookViews>
  <sheets>
    <sheet name="РАСЧЕТ ДЛЯ БАНКА8" sheetId="1" r:id="rId1"/>
    <sheet name="10_лет" sheetId="2" r:id="rId2"/>
  </sheets>
  <definedNames>
    <definedName name="аааааааааа">#REF!</definedName>
    <definedName name="БББ">#REF!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 localSheetId="1">#REF!</definedName>
    <definedName name="Итого_ЗПМ_в_базисных_ценах" localSheetId="0">#REF!</definedName>
    <definedName name="Итого_ЗПМ_в_базисных_ценах">#REF!</definedName>
    <definedName name="Итого_ЗПМ_в_базисных_ценах_с_учетом_к_тов" localSheetId="1">#REF!</definedName>
    <definedName name="Итого_ЗПМ_в_базисных_ценах_с_учетом_к_тов" localSheetId="0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 localSheetId="1">#REF!</definedName>
    <definedName name="Итого_материалы_в_базисных_ценах" localSheetId="0">#REF!</definedName>
    <definedName name="Итого_материалы_в_базисных_ценах">#REF!</definedName>
    <definedName name="Итого_материалы_в_базисных_ценах_с_учетом_к_тов" localSheetId="1">#REF!</definedName>
    <definedName name="Итого_материалы_в_базисных_ценах_с_учетом_к_тов" localSheetId="0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 localSheetId="1">#REF!</definedName>
    <definedName name="Итого_машины_и_механизмы_в_базисных_ценах" localSheetId="0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1">#REF!</definedName>
    <definedName name="Итого_НР_в_базисных_ценах" localSheetId="0">#REF!</definedName>
    <definedName name="Итого_НР_в_базисных_ценах">#REF!</definedName>
    <definedName name="Итого_НР_в_базисных_ценах_1">#REF!</definedName>
    <definedName name="Итого_НР_по_акту_в_базисных_ценах" localSheetId="1">#REF!</definedName>
    <definedName name="Итого_НР_по_акту_в_базисных_ценах" localSheetId="0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 localSheetId="1">#REF!</definedName>
    <definedName name="Итого_ОЗП_в_базисных_ценах" localSheetId="0">#REF!</definedName>
    <definedName name="Итого_ОЗП_в_базисных_ценах">#REF!</definedName>
    <definedName name="Итого_ОЗП_в_базисных_ценах_с_учетом_к_тов" localSheetId="1">#REF!</definedName>
    <definedName name="Итого_ОЗП_в_базисных_ценах_с_учетом_к_тов" localSheetId="0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 localSheetId="1">#REF!</definedName>
    <definedName name="Итого_ПЗ_в_базисных_ценах_с_учетом_к_тов" localSheetId="0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 localSheetId="1">#REF!</definedName>
    <definedName name="Итого_СП_в_базисных_ценах" localSheetId="0">#REF!</definedName>
    <definedName name="Итого_СП_в_базисных_ценах">#REF!</definedName>
    <definedName name="Итого_СП_по_акту_в_базисных_ценах" localSheetId="1">#REF!</definedName>
    <definedName name="Итого_СП_по_акту_в_базисных_ценах" localSheetId="0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 localSheetId="1">#REF!</definedName>
    <definedName name="Итого_ФОТ_в_базисных_ценах" localSheetId="0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 localSheetId="1">#REF!</definedName>
    <definedName name="Итого_ЭММ_в_базисных_ценах_с_учетом_к_тов" localSheetId="0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огоНР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 localSheetId="1">#REF!</definedName>
    <definedName name="Норм_трудоемкость_механизаторов_по_смете_с_учетом_к_тов" localSheetId="0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 localSheetId="1">#REF!</definedName>
    <definedName name="Норм_трудоемкость_осн_рабочих_по_смете_с_учетом_к_тов" localSheetId="0">#REF!</definedName>
    <definedName name="Норм_трудоемкость_осн_рабочих_по_смете_с_учетом_к_тов">#REF!</definedName>
    <definedName name="Нормативная_трудоемкость_механизаторов_по_смете" localSheetId="1">#REF!</definedName>
    <definedName name="Нормативная_трудоемкость_механизаторов_по_смете" localSheetId="0">#REF!</definedName>
    <definedName name="Нормативная_трудоемкость_механизаторов_по_смете">#REF!</definedName>
    <definedName name="Нормативная_трудоемкость_основных_рабочих_по_смете" localSheetId="1">#REF!</definedName>
    <definedName name="Нормативная_трудоемкость_основных_рабочих_по_смете" localSheetId="0">#REF!</definedName>
    <definedName name="Нормативная_трудоемкость_основных_рабочих_по_смете">#REF!</definedName>
    <definedName name="_xlnm.Print_Area" localSheetId="0">'РАСЧЕТ ДЛЯ БАНКА8'!$A$1:$H$146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 localSheetId="1">#REF!</definedName>
    <definedName name="Районный_к_т_к_ЗП" localSheetId="0">#REF!</definedName>
    <definedName name="Районный_к_т_к_ЗП">#REF!</definedName>
    <definedName name="Районный_к_т_к_ЗП_по_ресурсному_расчету" localSheetId="1">#REF!</definedName>
    <definedName name="Районный_к_т_к_ЗП_по_ресурсному_расчету" localSheetId="0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рррррррр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sharedStrings.xml><?xml version="1.0" encoding="utf-8"?>
<sst xmlns="http://schemas.openxmlformats.org/spreadsheetml/2006/main" count="365" uniqueCount="55">
  <si>
    <t>Годовая выручка</t>
  </si>
  <si>
    <t>Годовая выручка от функционирования стоянки:</t>
  </si>
  <si>
    <t>В период эксплуатации:</t>
  </si>
  <si>
    <t>к-во м/мест</t>
  </si>
  <si>
    <t>Расходы:</t>
  </si>
  <si>
    <t>Арендная плата за землю</t>
  </si>
  <si>
    <t>2 года</t>
  </si>
  <si>
    <t>Налог на вмененный доход</t>
  </si>
  <si>
    <t>Фонд оплаты труда с учетом налогов и отчислений.</t>
  </si>
  <si>
    <t xml:space="preserve">Коммунальные платежи </t>
  </si>
  <si>
    <t>Оплата за воздействие на окружащую среду.</t>
  </si>
  <si>
    <t>Затты на вневедомстенную охрану</t>
  </si>
  <si>
    <t xml:space="preserve">Баланс </t>
  </si>
  <si>
    <t>Земельный налог</t>
  </si>
  <si>
    <t xml:space="preserve">1 год </t>
  </si>
  <si>
    <t>Выкуп земли</t>
  </si>
  <si>
    <t>Итого доходная часть  из расчета 2-х лет строительства и 5 лет эксплуатации</t>
  </si>
  <si>
    <t>Выплата процентов по кредиту</t>
  </si>
  <si>
    <t>С уч. Инфляции</t>
  </si>
  <si>
    <t>Проценты по кредиту</t>
  </si>
  <si>
    <t>Расходы</t>
  </si>
  <si>
    <t>ВСЕГО</t>
  </si>
  <si>
    <t>1 года</t>
  </si>
  <si>
    <t>В период строительства (на настоящий момент):</t>
  </si>
  <si>
    <t>БАЛАНС</t>
  </si>
  <si>
    <t>1 год (период строительства)</t>
  </si>
  <si>
    <t>2 год (эксплуатация объекта)</t>
  </si>
  <si>
    <t>Затраты  на вневедомстенную охрану</t>
  </si>
  <si>
    <t>ВЫРУЧКА ВСЕГО ЗА 8 лет:</t>
  </si>
  <si>
    <t>РАСЧЕТ  срока окупаемости инвестиционного проекта.</t>
  </si>
  <si>
    <t xml:space="preserve">РАСХОДЫ за 8 лет (без учета процентов по кредиту), всего: </t>
  </si>
  <si>
    <t>Структура расходов:</t>
  </si>
  <si>
    <t>РАСЧЕТ  срока окупаемости инвестиционного проекта: Двухуровневая автостоянка по ул. Расторгуева,15 в городе Рыбинск</t>
  </si>
  <si>
    <t>Итого расходы:</t>
  </si>
  <si>
    <t>Цена м-м /сут,руб.</t>
  </si>
  <si>
    <t>Годовая выручка в период эксплуатации:</t>
  </si>
  <si>
    <t>В период эксплуатации: ( за 7 лет)</t>
  </si>
  <si>
    <t>3 год</t>
  </si>
  <si>
    <t>8 год</t>
  </si>
  <si>
    <t>Проценты по кредиту  (8 лет)</t>
  </si>
  <si>
    <t>В период эксплуатации: ( за 9 лет)</t>
  </si>
  <si>
    <t xml:space="preserve">РАСХОДЫ за 10 лет (без учета процентов по кредиту), всего: </t>
  </si>
  <si>
    <t>Проценты по кредиту  (10 лет)</t>
  </si>
  <si>
    <t>Итого срок окупаемости инвестиционного проекта - 10 лет.</t>
  </si>
  <si>
    <t>ВЫРУЧКА ВСЕГО ЗА 10 лет:</t>
  </si>
  <si>
    <t>4 год</t>
  </si>
  <si>
    <t>5 год</t>
  </si>
  <si>
    <t>6 год</t>
  </si>
  <si>
    <t>7 год</t>
  </si>
  <si>
    <t>10 год</t>
  </si>
  <si>
    <t>9 год</t>
  </si>
  <si>
    <t xml:space="preserve"> итого текущие расходы</t>
  </si>
  <si>
    <t>Примечание. Расчет окупаемости выполнен с учетом следующих условий:  Минимальная проектная  вместимость автостоянки - 223 машино-места, максимальная - 290 машино-мест. коэффициент заполнения стоянки в период строительства и первого года - не более 85 %, второго года - 90% от минимальнй вместимости. Прогнозный уровень инфляции  с 2 по 7 год - 8%,  8 год - 7%, 9 и 10 год - 6%</t>
  </si>
  <si>
    <t>Итого срок окупаемости инвестиционного проекта - 8 лет.</t>
  </si>
  <si>
    <t>Примечание. Расчет окупаемости выполнен с учетом следующих условий:  Минимальная проектная  вместимость автостоянки - 223 машино-места, максимальная - 290 машино-мест. коэффициент заполнения стоянки в период строительства и первого года - не более 85 %, второго года - 92% от минимальнй вместимости. Прогнозный уровень инфляции  с 2 по 7 год - 8%,  8 год - 7%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</si>
</sst>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_-* #,##0.0_р_._-;\-* #,##0.0_р_._-;_-* &quot;-&quot;??_р_._-;_-@_-"/>
    <numFmt numFmtId="177" formatCode="_-* #,##0_р_._-;\-* #,##0_р_._-;_-* &quot;-&quot;??_р_._-;_-@_-"/>
    <numFmt numFmtId="178" formatCode="0.0000000000"/>
    <numFmt numFmtId="179" formatCode="0.00000000000"/>
    <numFmt numFmtId="180" formatCode="0.000000000"/>
    <numFmt numFmtId="181" formatCode="0.00000000"/>
    <numFmt numFmtId="182" formatCode="0.0000000"/>
    <numFmt numFmtId="183" formatCode="0.000000"/>
    <numFmt numFmtId="184" formatCode="[$-FC19]d\ mmmm\ yyyy\ &quot;г.&quot;\,\ dddd"/>
  </numFmts>
  <fonts count="6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62"/>
      <name val="Arial Cyr"/>
      <family val="0"/>
    </font>
    <font>
      <b/>
      <sz val="12"/>
      <color indexed="10"/>
      <name val="Arial Cyr"/>
      <family val="0"/>
    </font>
    <font>
      <sz val="18"/>
      <color indexed="10"/>
      <name val="Arial Cyr"/>
      <family val="0"/>
    </font>
    <font>
      <sz val="10"/>
      <color indexed="62"/>
      <name val="Arial Cyr"/>
      <family val="0"/>
    </font>
    <font>
      <b/>
      <sz val="11"/>
      <color indexed="10"/>
      <name val="Arial Cyr"/>
      <family val="0"/>
    </font>
    <font>
      <b/>
      <sz val="12"/>
      <color indexed="53"/>
      <name val="Arial Cyr"/>
      <family val="0"/>
    </font>
    <font>
      <sz val="14"/>
      <color indexed="10"/>
      <name val="Arial Cyr"/>
      <family val="0"/>
    </font>
    <font>
      <b/>
      <sz val="12"/>
      <color indexed="62"/>
      <name val="Arial Cyr"/>
      <family val="0"/>
    </font>
    <font>
      <sz val="12"/>
      <color indexed="10"/>
      <name val="Arial Cyr"/>
      <family val="0"/>
    </font>
    <font>
      <b/>
      <sz val="11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theme="3" tint="0.39998000860214233"/>
      <name val="Arial Cyr"/>
      <family val="0"/>
    </font>
    <font>
      <b/>
      <sz val="12"/>
      <color rgb="FFFF0000"/>
      <name val="Arial Cyr"/>
      <family val="0"/>
    </font>
    <font>
      <sz val="18"/>
      <color rgb="FFFF0000"/>
      <name val="Arial Cyr"/>
      <family val="0"/>
    </font>
    <font>
      <sz val="10"/>
      <color theme="3" tint="0.39998000860214233"/>
      <name val="Arial Cyr"/>
      <family val="0"/>
    </font>
    <font>
      <b/>
      <sz val="12"/>
      <color theme="9" tint="-0.24997000396251678"/>
      <name val="Arial Cyr"/>
      <family val="0"/>
    </font>
    <font>
      <b/>
      <sz val="10"/>
      <color theme="4" tint="-0.24997000396251678"/>
      <name val="Arial Cyr"/>
      <family val="0"/>
    </font>
    <font>
      <b/>
      <sz val="11"/>
      <color rgb="FFFF0000"/>
      <name val="Arial Cyr"/>
      <family val="0"/>
    </font>
    <font>
      <sz val="14"/>
      <color rgb="FFFF0000"/>
      <name val="Arial Cyr"/>
      <family val="0"/>
    </font>
    <font>
      <b/>
      <sz val="12"/>
      <color theme="3" tint="0.39998000860214233"/>
      <name val="Arial Cyr"/>
      <family val="0"/>
    </font>
    <font>
      <sz val="12"/>
      <color rgb="FFFF0000"/>
      <name val="Arial Cyr"/>
      <family val="0"/>
    </font>
    <font>
      <b/>
      <sz val="11"/>
      <color theme="3" tint="0.39998000860214233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4" fillId="0" borderId="1">
      <alignment horizontal="center"/>
      <protection/>
    </xf>
    <xf numFmtId="0" fontId="4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7" applyNumberFormat="0" applyFill="0" applyAlignment="0" applyProtection="0"/>
    <xf numFmtId="0" fontId="4" fillId="0" borderId="0">
      <alignment horizontal="right" vertical="top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8" borderId="8" applyNumberFormat="0" applyAlignment="0" applyProtection="0"/>
    <xf numFmtId="0" fontId="4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" fillId="0" borderId="1">
      <alignment horizontal="center"/>
      <protection/>
    </xf>
    <xf numFmtId="0" fontId="4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 horizontal="left" vertical="top"/>
      <protection/>
    </xf>
    <xf numFmtId="0" fontId="52" fillId="32" borderId="0" applyNumberFormat="0" applyBorder="0" applyAlignment="0" applyProtection="0"/>
    <xf numFmtId="0" fontId="4" fillId="0" borderId="0">
      <alignment/>
      <protection/>
    </xf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0" fontId="0" fillId="0" borderId="1" xfId="0" applyFill="1" applyBorder="1" applyAlignment="1">
      <alignment/>
    </xf>
    <xf numFmtId="0" fontId="5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177" fontId="2" fillId="0" borderId="1" xfId="82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7" fontId="0" fillId="0" borderId="1" xfId="0" applyNumberForma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53" fillId="0" borderId="1" xfId="0" applyNumberFormat="1" applyFont="1" applyFill="1" applyBorder="1" applyAlignment="1">
      <alignment/>
    </xf>
    <xf numFmtId="177" fontId="54" fillId="0" borderId="1" xfId="0" applyNumberFormat="1" applyFont="1" applyFill="1" applyBorder="1" applyAlignment="1">
      <alignment/>
    </xf>
    <xf numFmtId="177" fontId="55" fillId="0" borderId="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177" fontId="2" fillId="0" borderId="14" xfId="82" applyNumberFormat="1" applyFont="1" applyFill="1" applyBorder="1" applyAlignment="1">
      <alignment/>
    </xf>
    <xf numFmtId="0" fontId="56" fillId="0" borderId="0" xfId="0" applyFont="1" applyAlignment="1">
      <alignment/>
    </xf>
    <xf numFmtId="0" fontId="0" fillId="0" borderId="13" xfId="0" applyFill="1" applyBorder="1" applyAlignment="1">
      <alignment/>
    </xf>
    <xf numFmtId="177" fontId="57" fillId="0" borderId="1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7" fontId="55" fillId="0" borderId="15" xfId="0" applyNumberFormat="1" applyFont="1" applyFill="1" applyBorder="1" applyAlignment="1">
      <alignment/>
    </xf>
    <xf numFmtId="177" fontId="53" fillId="0" borderId="11" xfId="0" applyNumberFormat="1" applyFont="1" applyFill="1" applyBorder="1" applyAlignment="1">
      <alignment/>
    </xf>
    <xf numFmtId="177" fontId="58" fillId="0" borderId="1" xfId="8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177" fontId="60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177" fontId="55" fillId="0" borderId="16" xfId="0" applyNumberFormat="1" applyFont="1" applyBorder="1" applyAlignment="1">
      <alignment/>
    </xf>
    <xf numFmtId="177" fontId="55" fillId="0" borderId="1" xfId="0" applyNumberFormat="1" applyFont="1" applyBorder="1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Alignment="1">
      <alignment wrapText="1"/>
    </xf>
    <xf numFmtId="0" fontId="63" fillId="0" borderId="0" xfId="0" applyFont="1" applyAlignment="1">
      <alignment horizontal="left"/>
    </xf>
    <xf numFmtId="0" fontId="1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53" fillId="0" borderId="1" xfId="0" applyFont="1" applyFill="1" applyBorder="1" applyAlignment="1">
      <alignment horizontal="right"/>
    </xf>
    <xf numFmtId="177" fontId="0" fillId="0" borderId="1" xfId="82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53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177" fontId="55" fillId="0" borderId="14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Border="1" applyAlignment="1">
      <alignment/>
    </xf>
    <xf numFmtId="177" fontId="58" fillId="0" borderId="20" xfId="82" applyNumberFormat="1" applyFont="1" applyFill="1" applyBorder="1" applyAlignment="1">
      <alignment/>
    </xf>
    <xf numFmtId="177" fontId="0" fillId="0" borderId="20" xfId="0" applyNumberForma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53" fillId="0" borderId="22" xfId="0" applyFont="1" applyFill="1" applyBorder="1" applyAlignment="1">
      <alignment/>
    </xf>
    <xf numFmtId="177" fontId="55" fillId="0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77" fontId="57" fillId="0" borderId="20" xfId="0" applyNumberFormat="1" applyFont="1" applyFill="1" applyBorder="1" applyAlignment="1">
      <alignment/>
    </xf>
    <xf numFmtId="177" fontId="2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177" fontId="55" fillId="0" borderId="26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177" fontId="55" fillId="0" borderId="29" xfId="0" applyNumberFormat="1" applyFont="1" applyFill="1" applyBorder="1" applyAlignment="1">
      <alignment/>
    </xf>
    <xf numFmtId="177" fontId="57" fillId="0" borderId="14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77" fontId="58" fillId="0" borderId="18" xfId="82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177" fontId="54" fillId="0" borderId="14" xfId="0" applyNumberFormat="1" applyFon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54" fillId="0" borderId="20" xfId="0" applyNumberFormat="1" applyFont="1" applyFill="1" applyBorder="1" applyAlignment="1">
      <alignment/>
    </xf>
    <xf numFmtId="177" fontId="53" fillId="0" borderId="23" xfId="0" applyNumberFormat="1" applyFont="1" applyFill="1" applyBorder="1" applyAlignment="1">
      <alignment/>
    </xf>
    <xf numFmtId="177" fontId="53" fillId="0" borderId="25" xfId="0" applyNumberFormat="1" applyFont="1" applyFill="1" applyBorder="1" applyAlignment="1">
      <alignment/>
    </xf>
    <xf numFmtId="177" fontId="55" fillId="0" borderId="30" xfId="0" applyNumberFormat="1" applyFont="1" applyBorder="1" applyAlignment="1">
      <alignment/>
    </xf>
    <xf numFmtId="177" fontId="60" fillId="0" borderId="14" xfId="0" applyNumberFormat="1" applyFont="1" applyBorder="1" applyAlignment="1">
      <alignment/>
    </xf>
    <xf numFmtId="177" fontId="55" fillId="0" borderId="14" xfId="0" applyNumberFormat="1" applyFont="1" applyBorder="1" applyAlignment="1">
      <alignment/>
    </xf>
    <xf numFmtId="177" fontId="2" fillId="0" borderId="20" xfId="82" applyNumberFormat="1" applyFont="1" applyFill="1" applyBorder="1" applyAlignment="1">
      <alignment/>
    </xf>
    <xf numFmtId="177" fontId="60" fillId="0" borderId="20" xfId="0" applyNumberFormat="1" applyFont="1" applyBorder="1" applyAlignment="1">
      <alignment/>
    </xf>
    <xf numFmtId="0" fontId="59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2" fillId="0" borderId="31" xfId="0" applyFont="1" applyFill="1" applyBorder="1" applyAlignment="1">
      <alignment horizontal="center"/>
    </xf>
    <xf numFmtId="177" fontId="60" fillId="0" borderId="23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64" fillId="0" borderId="0" xfId="0" applyFont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35" xfId="0" applyFont="1" applyFill="1" applyBorder="1" applyAlignment="1">
      <alignment horizontal="right"/>
    </xf>
    <xf numFmtId="0" fontId="0" fillId="0" borderId="36" xfId="0" applyBorder="1" applyAlignment="1">
      <alignment horizontal="center"/>
    </xf>
    <xf numFmtId="0" fontId="6" fillId="0" borderId="14" xfId="0" applyFont="1" applyFill="1" applyBorder="1" applyAlignment="1">
      <alignment horizontal="right"/>
    </xf>
    <xf numFmtId="0" fontId="0" fillId="0" borderId="37" xfId="0" applyBorder="1" applyAlignment="1">
      <alignment horizontal="center"/>
    </xf>
    <xf numFmtId="0" fontId="62" fillId="0" borderId="0" xfId="0" applyFont="1" applyAlignment="1">
      <alignment horizont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ороший" xfId="85"/>
    <cellStyle name="Экспертиза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"/>
  <sheetViews>
    <sheetView view="pageBreakPreview" zoomScaleSheetLayoutView="100" workbookViewId="0" topLeftCell="A15">
      <selection activeCell="S88" sqref="S88"/>
    </sheetView>
  </sheetViews>
  <sheetFormatPr defaultColWidth="9.00390625" defaultRowHeight="12.75" outlineLevelRow="1"/>
  <cols>
    <col min="2" max="2" width="48.00390625" style="0" customWidth="1"/>
    <col min="3" max="3" width="0" style="0" hidden="1" customWidth="1"/>
    <col min="4" max="4" width="10.75390625" style="0" customWidth="1"/>
    <col min="5" max="5" width="14.25390625" style="0" customWidth="1"/>
    <col min="6" max="7" width="0" style="0" hidden="1" customWidth="1"/>
    <col min="8" max="8" width="18.25390625" style="0" customWidth="1"/>
    <col min="9" max="9" width="18.125" style="0" hidden="1" customWidth="1"/>
    <col min="10" max="10" width="6.375" style="0" hidden="1" customWidth="1"/>
    <col min="11" max="11" width="5.25390625" style="0" hidden="1" customWidth="1"/>
    <col min="12" max="12" width="9.125" style="0" hidden="1" customWidth="1"/>
    <col min="13" max="13" width="4.375" style="0" hidden="1" customWidth="1"/>
    <col min="14" max="14" width="6.125" style="0" hidden="1" customWidth="1"/>
    <col min="15" max="15" width="12.875" style="0" hidden="1" customWidth="1"/>
    <col min="16" max="16" width="0" style="0" hidden="1" customWidth="1"/>
  </cols>
  <sheetData>
    <row r="1" spans="2:9" ht="27" customHeight="1">
      <c r="B1" s="94" t="s">
        <v>32</v>
      </c>
      <c r="C1" s="94"/>
      <c r="D1" s="94"/>
      <c r="E1" s="94"/>
      <c r="F1" s="94"/>
      <c r="G1" s="94"/>
      <c r="H1" s="94"/>
      <c r="I1" s="34"/>
    </row>
    <row r="2" spans="2:9" ht="3" customHeight="1" thickBot="1">
      <c r="B2" s="6"/>
      <c r="C2" s="6"/>
      <c r="D2" s="6"/>
      <c r="E2" s="6"/>
      <c r="F2" s="6"/>
      <c r="G2" s="6"/>
      <c r="H2" s="6"/>
      <c r="I2" s="6"/>
    </row>
    <row r="3" spans="1:9" s="36" customFormat="1" ht="11.25">
      <c r="A3" s="62"/>
      <c r="B3" s="46" t="s">
        <v>1</v>
      </c>
      <c r="C3" s="46"/>
      <c r="D3" s="46" t="s">
        <v>3</v>
      </c>
      <c r="E3" s="46" t="s">
        <v>34</v>
      </c>
      <c r="F3" s="46"/>
      <c r="G3" s="46"/>
      <c r="H3" s="47" t="s">
        <v>0</v>
      </c>
      <c r="I3" s="41" t="s">
        <v>21</v>
      </c>
    </row>
    <row r="4" spans="1:9" ht="12.75" customHeight="1">
      <c r="A4" s="48"/>
      <c r="B4" s="4" t="s">
        <v>23</v>
      </c>
      <c r="C4" s="4"/>
      <c r="D4" s="7">
        <v>150</v>
      </c>
      <c r="E4" s="7">
        <v>65</v>
      </c>
      <c r="F4" s="4"/>
      <c r="G4" s="4"/>
      <c r="H4" s="78">
        <f>D4*E4*365</f>
        <v>3558750</v>
      </c>
      <c r="I4" s="42">
        <f>H4*1</f>
        <v>3558750</v>
      </c>
    </row>
    <row r="5" spans="1:9" ht="13.5" customHeight="1" thickBot="1">
      <c r="A5" s="48"/>
      <c r="B5" s="4" t="s">
        <v>36</v>
      </c>
      <c r="C5" s="4"/>
      <c r="D5" s="7"/>
      <c r="E5" s="7"/>
      <c r="F5" s="4"/>
      <c r="G5" s="4"/>
      <c r="H5" s="78">
        <f>I5</f>
        <v>54275500</v>
      </c>
      <c r="I5" s="74">
        <f>H28+H45+H60+H76+H93+H111+H128</f>
        <v>54275500</v>
      </c>
    </row>
    <row r="6" spans="1:9" ht="13.5" customHeight="1">
      <c r="A6" s="48"/>
      <c r="B6" s="37" t="s">
        <v>28</v>
      </c>
      <c r="C6" s="26"/>
      <c r="D6" s="27"/>
      <c r="E6" s="27"/>
      <c r="F6" s="26"/>
      <c r="G6" s="26"/>
      <c r="H6" s="79">
        <f>I6</f>
        <v>57834250</v>
      </c>
      <c r="I6" s="75">
        <f>I4+I5</f>
        <v>57834250</v>
      </c>
    </row>
    <row r="7" spans="1:9" ht="13.5" customHeight="1">
      <c r="A7" s="48"/>
      <c r="B7" s="26" t="s">
        <v>30</v>
      </c>
      <c r="C7" s="26"/>
      <c r="D7" s="27"/>
      <c r="E7" s="27"/>
      <c r="F7" s="26"/>
      <c r="G7" s="26"/>
      <c r="H7" s="79">
        <f>I7</f>
        <v>11582542.469684912</v>
      </c>
      <c r="I7" s="76">
        <f>H20+H38+H54+H71+H87+H104+H123+H140</f>
        <v>11582542.469684912</v>
      </c>
    </row>
    <row r="8" spans="1:9" ht="12.75" customHeight="1">
      <c r="A8" s="48"/>
      <c r="B8" s="26" t="s">
        <v>39</v>
      </c>
      <c r="C8" s="26"/>
      <c r="D8" s="27"/>
      <c r="E8" s="27"/>
      <c r="F8" s="26"/>
      <c r="G8" s="26"/>
      <c r="H8" s="79">
        <f>I8</f>
        <v>13200000</v>
      </c>
      <c r="I8" s="76">
        <f>1650000*8</f>
        <v>13200000</v>
      </c>
    </row>
    <row r="9" spans="1:9" ht="18.75" customHeight="1" thickBot="1">
      <c r="A9" s="52"/>
      <c r="B9" s="80" t="s">
        <v>24</v>
      </c>
      <c r="C9" s="81"/>
      <c r="D9" s="82"/>
      <c r="E9" s="82"/>
      <c r="F9" s="81"/>
      <c r="G9" s="81"/>
      <c r="H9" s="83">
        <f>I9</f>
        <v>33051707.530315086</v>
      </c>
      <c r="I9" s="77">
        <f>I6-I7-I8</f>
        <v>33051707.530315086</v>
      </c>
    </row>
    <row r="10" spans="2:9" ht="16.5" customHeight="1" thickBot="1">
      <c r="B10" s="35" t="s">
        <v>25</v>
      </c>
      <c r="C10" s="19"/>
      <c r="D10" s="19"/>
      <c r="E10" s="19"/>
      <c r="F10" s="19"/>
      <c r="G10" s="19"/>
      <c r="H10" s="19"/>
      <c r="I10" s="1"/>
    </row>
    <row r="11" spans="1:15" ht="12.75">
      <c r="A11" s="55"/>
      <c r="B11" s="56" t="s">
        <v>31</v>
      </c>
      <c r="C11" s="56"/>
      <c r="D11" s="56"/>
      <c r="E11" s="56"/>
      <c r="F11" s="56"/>
      <c r="G11" s="56"/>
      <c r="H11" s="71"/>
      <c r="I11" s="44"/>
      <c r="O11" s="3">
        <f>H21+H39+H55+H72+H88+H105+H124</f>
        <v>38068799.32866805</v>
      </c>
    </row>
    <row r="12" spans="1:9" ht="12.75">
      <c r="A12" s="48"/>
      <c r="B12" s="4" t="s">
        <v>5</v>
      </c>
      <c r="C12" s="4" t="s">
        <v>22</v>
      </c>
      <c r="D12" s="4"/>
      <c r="E12" s="4"/>
      <c r="F12" s="4"/>
      <c r="G12" s="4"/>
      <c r="H12" s="51">
        <f>47250*12*0.5</f>
        <v>283500</v>
      </c>
      <c r="I12" s="42"/>
    </row>
    <row r="13" spans="1:9" ht="12.75" hidden="1">
      <c r="A13" s="48"/>
      <c r="B13" s="4" t="s">
        <v>17</v>
      </c>
      <c r="C13" s="4"/>
      <c r="D13" s="4"/>
      <c r="E13" s="4"/>
      <c r="F13" s="4"/>
      <c r="G13" s="4"/>
      <c r="H13" s="51"/>
      <c r="I13" s="42">
        <f>1650000*7</f>
        <v>11550000</v>
      </c>
    </row>
    <row r="14" spans="1:9" ht="13.5" customHeight="1" hidden="1" outlineLevel="1">
      <c r="A14" s="48"/>
      <c r="B14" s="4" t="s">
        <v>13</v>
      </c>
      <c r="C14" s="4" t="s">
        <v>14</v>
      </c>
      <c r="D14" s="4"/>
      <c r="E14" s="4"/>
      <c r="F14" s="4"/>
      <c r="G14" s="4"/>
      <c r="H14" s="51"/>
      <c r="I14" s="42"/>
    </row>
    <row r="15" spans="1:9" ht="12.75" outlineLevel="1">
      <c r="A15" s="48"/>
      <c r="B15" s="4" t="s">
        <v>7</v>
      </c>
      <c r="C15" s="4"/>
      <c r="D15" s="4"/>
      <c r="E15" s="4"/>
      <c r="F15" s="4"/>
      <c r="G15" s="4"/>
      <c r="H15" s="51">
        <f>26520*12</f>
        <v>318240</v>
      </c>
      <c r="I15" s="42"/>
    </row>
    <row r="16" spans="1:9" ht="12.75" outlineLevel="1">
      <c r="A16" s="48"/>
      <c r="B16" s="4" t="s">
        <v>8</v>
      </c>
      <c r="C16" s="4"/>
      <c r="D16" s="4"/>
      <c r="E16" s="4"/>
      <c r="F16" s="4"/>
      <c r="G16" s="4"/>
      <c r="H16" s="51">
        <f>(28200+3948+3666+112)*12</f>
        <v>431112</v>
      </c>
      <c r="I16" s="42"/>
    </row>
    <row r="17" spans="1:9" ht="12.75" outlineLevel="1">
      <c r="A17" s="48"/>
      <c r="B17" s="4" t="s">
        <v>27</v>
      </c>
      <c r="C17" s="4"/>
      <c r="D17" s="4"/>
      <c r="E17" s="4"/>
      <c r="F17" s="4"/>
      <c r="G17" s="4"/>
      <c r="H17" s="51">
        <f>1800*12</f>
        <v>21600</v>
      </c>
      <c r="I17" s="42"/>
    </row>
    <row r="18" spans="1:9" ht="12.75" outlineLevel="1">
      <c r="A18" s="48"/>
      <c r="B18" s="4" t="s">
        <v>9</v>
      </c>
      <c r="C18" s="4"/>
      <c r="D18" s="4"/>
      <c r="E18" s="4"/>
      <c r="F18" s="4"/>
      <c r="G18" s="4"/>
      <c r="H18" s="51">
        <f>(700+100+8000)*12</f>
        <v>105600</v>
      </c>
      <c r="I18" s="42"/>
    </row>
    <row r="19" spans="1:9" ht="11.25" customHeight="1" outlineLevel="1">
      <c r="A19" s="48"/>
      <c r="B19" s="4" t="s">
        <v>10</v>
      </c>
      <c r="C19" s="4"/>
      <c r="D19" s="4"/>
      <c r="E19" s="4"/>
      <c r="F19" s="4"/>
      <c r="G19" s="4"/>
      <c r="H19" s="51">
        <v>16000</v>
      </c>
      <c r="I19" s="42"/>
    </row>
    <row r="20" spans="1:9" ht="12" customHeight="1">
      <c r="A20" s="48"/>
      <c r="B20" s="95" t="s">
        <v>33</v>
      </c>
      <c r="C20" s="96"/>
      <c r="D20" s="96"/>
      <c r="E20" s="96"/>
      <c r="F20" s="20"/>
      <c r="G20" s="20"/>
      <c r="H20" s="72">
        <f>SUM(H12:H19)</f>
        <v>1176052</v>
      </c>
      <c r="I20" s="70">
        <f>H20+H38+H54+H71+H87+H104+H123</f>
        <v>9727944.671331955</v>
      </c>
    </row>
    <row r="21" spans="1:14" ht="14.25" customHeight="1" thickBot="1">
      <c r="A21" s="52"/>
      <c r="B21" s="53" t="s">
        <v>12</v>
      </c>
      <c r="C21" s="53"/>
      <c r="D21" s="53"/>
      <c r="E21" s="53"/>
      <c r="F21" s="53"/>
      <c r="G21" s="53"/>
      <c r="H21" s="73">
        <f>H4-H20</f>
        <v>2382698</v>
      </c>
      <c r="I21" s="43">
        <f>I6-I13-I20</f>
        <v>36556305.32866804</v>
      </c>
      <c r="L21">
        <v>33</v>
      </c>
      <c r="M21">
        <v>5</v>
      </c>
      <c r="N21">
        <f>L21*M21/100</f>
        <v>1.65</v>
      </c>
    </row>
    <row r="22" spans="2:9" ht="12.75" hidden="1">
      <c r="B22" s="22"/>
      <c r="C22" s="22"/>
      <c r="D22" s="22"/>
      <c r="E22" s="22"/>
      <c r="F22" s="22"/>
      <c r="G22" s="22"/>
      <c r="H22" s="22"/>
      <c r="I22" s="4"/>
    </row>
    <row r="23" spans="2:9" ht="4.5" customHeight="1" hidden="1">
      <c r="B23" s="6"/>
      <c r="C23" s="6"/>
      <c r="D23" s="6"/>
      <c r="E23" s="6"/>
      <c r="F23" s="6"/>
      <c r="G23" s="6"/>
      <c r="H23" s="6"/>
      <c r="I23" s="6"/>
    </row>
    <row r="24" ht="12.75" hidden="1"/>
    <row r="25" ht="12.75" hidden="1"/>
    <row r="26" ht="16.5" customHeight="1">
      <c r="B26" s="35" t="s">
        <v>26</v>
      </c>
    </row>
    <row r="27" spans="1:8" s="36" customFormat="1" ht="12" thickBot="1">
      <c r="A27" s="66"/>
      <c r="B27" s="66"/>
      <c r="C27" s="66"/>
      <c r="D27" s="66" t="s">
        <v>3</v>
      </c>
      <c r="E27" s="66" t="s">
        <v>34</v>
      </c>
      <c r="F27" s="66"/>
      <c r="G27" s="66"/>
      <c r="H27" s="66" t="s">
        <v>0</v>
      </c>
    </row>
    <row r="28" spans="1:9" ht="15" customHeight="1">
      <c r="A28" s="55"/>
      <c r="B28" s="56" t="s">
        <v>35</v>
      </c>
      <c r="C28" s="56"/>
      <c r="D28" s="67">
        <v>190</v>
      </c>
      <c r="E28" s="67">
        <v>70</v>
      </c>
      <c r="F28" s="56"/>
      <c r="G28" s="56"/>
      <c r="H28" s="68">
        <f>D28*E28*365</f>
        <v>4854500</v>
      </c>
      <c r="I28" s="42"/>
    </row>
    <row r="29" spans="1:9" ht="12" customHeight="1">
      <c r="A29" s="48"/>
      <c r="B29" s="4" t="s">
        <v>31</v>
      </c>
      <c r="C29" s="4"/>
      <c r="D29" s="4"/>
      <c r="E29" s="4"/>
      <c r="F29" s="4"/>
      <c r="G29" s="4"/>
      <c r="H29" s="50"/>
      <c r="I29" s="44"/>
    </row>
    <row r="30" spans="1:9" ht="12.75" hidden="1">
      <c r="A30" s="48"/>
      <c r="B30" s="4" t="s">
        <v>5</v>
      </c>
      <c r="C30" s="4" t="s">
        <v>6</v>
      </c>
      <c r="D30" s="4"/>
      <c r="E30" s="4"/>
      <c r="F30" s="4"/>
      <c r="G30" s="4"/>
      <c r="H30" s="51"/>
      <c r="I30" s="42">
        <f>H30*1</f>
        <v>0</v>
      </c>
    </row>
    <row r="31" spans="1:9" ht="12.75" hidden="1">
      <c r="A31" s="48"/>
      <c r="B31" s="4" t="s">
        <v>15</v>
      </c>
      <c r="C31" s="4"/>
      <c r="D31" s="4"/>
      <c r="E31" s="4"/>
      <c r="F31" s="4"/>
      <c r="G31" s="4"/>
      <c r="H31" s="51"/>
      <c r="I31" s="42"/>
    </row>
    <row r="32" spans="1:9" ht="12.75">
      <c r="A32" s="48"/>
      <c r="B32" s="4" t="s">
        <v>13</v>
      </c>
      <c r="C32" s="4" t="s">
        <v>14</v>
      </c>
      <c r="D32" s="4"/>
      <c r="E32" s="4"/>
      <c r="F32" s="4"/>
      <c r="G32" s="4"/>
      <c r="H32" s="51">
        <v>257000</v>
      </c>
      <c r="I32" s="42"/>
    </row>
    <row r="33" spans="1:9" ht="12.75">
      <c r="A33" s="48"/>
      <c r="B33" s="4" t="s">
        <v>7</v>
      </c>
      <c r="C33" s="4"/>
      <c r="D33" s="4"/>
      <c r="E33" s="4"/>
      <c r="F33" s="4"/>
      <c r="G33" s="4"/>
      <c r="H33" s="51">
        <f>26520*12</f>
        <v>318240</v>
      </c>
      <c r="I33" s="42"/>
    </row>
    <row r="34" spans="1:9" ht="12.75">
      <c r="A34" s="48"/>
      <c r="B34" s="4" t="s">
        <v>8</v>
      </c>
      <c r="C34" s="4"/>
      <c r="D34" s="4"/>
      <c r="E34" s="4"/>
      <c r="F34" s="4"/>
      <c r="G34" s="4"/>
      <c r="H34" s="51">
        <f>(28200+3948+3666+112)*12*1.05</f>
        <v>452667.60000000003</v>
      </c>
      <c r="I34" s="42"/>
    </row>
    <row r="35" spans="1:9" ht="12.75">
      <c r="A35" s="48"/>
      <c r="B35" s="4" t="s">
        <v>11</v>
      </c>
      <c r="C35" s="4"/>
      <c r="D35" s="4"/>
      <c r="E35" s="4"/>
      <c r="F35" s="4"/>
      <c r="G35" s="4"/>
      <c r="H35" s="51">
        <f>1800*12</f>
        <v>21600</v>
      </c>
      <c r="I35" s="42"/>
    </row>
    <row r="36" spans="1:9" ht="12.75">
      <c r="A36" s="48"/>
      <c r="B36" s="4" t="s">
        <v>9</v>
      </c>
      <c r="C36" s="4"/>
      <c r="D36" s="4"/>
      <c r="E36" s="4"/>
      <c r="F36" s="4"/>
      <c r="G36" s="4"/>
      <c r="H36" s="51">
        <f>(700+100+8000)*12</f>
        <v>105600</v>
      </c>
      <c r="I36" s="42"/>
    </row>
    <row r="37" spans="1:9" ht="12.75">
      <c r="A37" s="48"/>
      <c r="B37" s="4" t="s">
        <v>10</v>
      </c>
      <c r="C37" s="4"/>
      <c r="D37" s="4"/>
      <c r="E37" s="4"/>
      <c r="F37" s="4"/>
      <c r="G37" s="4"/>
      <c r="H37" s="51">
        <v>16000</v>
      </c>
      <c r="I37" s="42"/>
    </row>
    <row r="38" spans="1:14" ht="12.75" customHeight="1">
      <c r="A38" s="48"/>
      <c r="B38" s="5"/>
      <c r="C38" s="5"/>
      <c r="D38" s="5"/>
      <c r="E38" s="5"/>
      <c r="F38" s="5"/>
      <c r="G38" s="5"/>
      <c r="H38" s="58">
        <f>SUM(H32:H37)</f>
        <v>1171107.6</v>
      </c>
      <c r="I38" s="65">
        <f>SUM(I32:I37)</f>
        <v>0</v>
      </c>
      <c r="L38">
        <v>33</v>
      </c>
      <c r="M38">
        <v>5</v>
      </c>
      <c r="N38">
        <f>L38*M38/100</f>
        <v>1.65</v>
      </c>
    </row>
    <row r="39" spans="1:14" ht="14.25" customHeight="1" thickBot="1">
      <c r="A39" s="52"/>
      <c r="B39" s="53" t="s">
        <v>12</v>
      </c>
      <c r="C39" s="69"/>
      <c r="D39" s="69"/>
      <c r="E39" s="69"/>
      <c r="F39" s="69"/>
      <c r="G39" s="69"/>
      <c r="H39" s="64">
        <f>H28-H38</f>
        <v>3683392.4</v>
      </c>
      <c r="I39" s="43"/>
      <c r="L39">
        <v>31</v>
      </c>
      <c r="N39">
        <f>L39*M38%</f>
        <v>1.55</v>
      </c>
    </row>
    <row r="40" ht="12.75" hidden="1"/>
    <row r="41" ht="12.75" hidden="1"/>
    <row r="42" ht="12.75" hidden="1"/>
    <row r="43" ht="6" customHeight="1" thickBot="1">
      <c r="B43" s="35"/>
    </row>
    <row r="44" spans="1:9" s="36" customFormat="1" ht="11.25">
      <c r="A44" s="91" t="s">
        <v>37</v>
      </c>
      <c r="B44" s="46" t="s">
        <v>1</v>
      </c>
      <c r="C44" s="46"/>
      <c r="D44" s="46" t="s">
        <v>3</v>
      </c>
      <c r="E44" s="46" t="s">
        <v>34</v>
      </c>
      <c r="F44" s="46"/>
      <c r="G44" s="46"/>
      <c r="H44" s="47" t="s">
        <v>0</v>
      </c>
      <c r="I44" s="41"/>
    </row>
    <row r="45" spans="1:9" ht="15.75" customHeight="1">
      <c r="A45" s="92"/>
      <c r="B45" s="4" t="s">
        <v>2</v>
      </c>
      <c r="C45" s="4"/>
      <c r="D45" s="7">
        <v>205</v>
      </c>
      <c r="E45" s="7">
        <v>80</v>
      </c>
      <c r="F45" s="4"/>
      <c r="G45" s="4"/>
      <c r="H45" s="49">
        <f>D45*E45*365</f>
        <v>5986000</v>
      </c>
      <c r="I45" s="59"/>
    </row>
    <row r="46" spans="1:9" ht="12.75" customHeight="1" hidden="1">
      <c r="A46" s="92"/>
      <c r="B46" s="4" t="s">
        <v>4</v>
      </c>
      <c r="C46" s="4"/>
      <c r="D46" s="4"/>
      <c r="E46" s="4"/>
      <c r="F46" s="4"/>
      <c r="G46" s="4"/>
      <c r="H46" s="50"/>
      <c r="I46" s="60"/>
    </row>
    <row r="47" spans="1:9" ht="12.75" customHeight="1" hidden="1">
      <c r="A47" s="92"/>
      <c r="B47" s="4" t="s">
        <v>19</v>
      </c>
      <c r="C47" s="4" t="s">
        <v>6</v>
      </c>
      <c r="D47" s="4"/>
      <c r="E47" s="4"/>
      <c r="F47" s="4"/>
      <c r="G47" s="4"/>
      <c r="H47" s="51"/>
      <c r="I47" s="42"/>
    </row>
    <row r="48" spans="1:9" ht="12.75" customHeight="1" hidden="1">
      <c r="A48" s="92"/>
      <c r="B48" s="4" t="s">
        <v>13</v>
      </c>
      <c r="C48" s="4" t="s">
        <v>14</v>
      </c>
      <c r="D48" s="4"/>
      <c r="E48" s="4"/>
      <c r="F48" s="4"/>
      <c r="G48" s="4"/>
      <c r="H48" s="51">
        <f>H32</f>
        <v>257000</v>
      </c>
      <c r="I48" s="42">
        <f aca="true" t="shared" si="0" ref="I48:I53">I32*1.1</f>
        <v>0</v>
      </c>
    </row>
    <row r="49" spans="1:9" ht="12.75" customHeight="1" hidden="1">
      <c r="A49" s="92"/>
      <c r="B49" s="4" t="s">
        <v>7</v>
      </c>
      <c r="C49" s="4"/>
      <c r="D49" s="4"/>
      <c r="E49" s="4"/>
      <c r="F49" s="4"/>
      <c r="G49" s="4"/>
      <c r="H49" s="51">
        <f>H33*1.08</f>
        <v>343699.2</v>
      </c>
      <c r="I49" s="42">
        <f t="shared" si="0"/>
        <v>0</v>
      </c>
    </row>
    <row r="50" spans="1:9" ht="12.75" customHeight="1" hidden="1">
      <c r="A50" s="92"/>
      <c r="B50" s="4" t="s">
        <v>8</v>
      </c>
      <c r="C50" s="4"/>
      <c r="D50" s="4"/>
      <c r="E50" s="4"/>
      <c r="F50" s="4"/>
      <c r="G50" s="4"/>
      <c r="H50" s="51">
        <f>H34*1.08</f>
        <v>488881.0080000001</v>
      </c>
      <c r="I50" s="42">
        <f t="shared" si="0"/>
        <v>0</v>
      </c>
    </row>
    <row r="51" spans="1:9" ht="12.75" customHeight="1" hidden="1">
      <c r="A51" s="92"/>
      <c r="B51" s="4" t="s">
        <v>11</v>
      </c>
      <c r="C51" s="4"/>
      <c r="D51" s="4"/>
      <c r="E51" s="4"/>
      <c r="F51" s="4"/>
      <c r="G51" s="4"/>
      <c r="H51" s="51">
        <v>27000</v>
      </c>
      <c r="I51" s="42">
        <f t="shared" si="0"/>
        <v>0</v>
      </c>
    </row>
    <row r="52" spans="1:9" ht="12.75" customHeight="1" hidden="1">
      <c r="A52" s="92"/>
      <c r="B52" s="4" t="s">
        <v>9</v>
      </c>
      <c r="C52" s="4"/>
      <c r="D52" s="4"/>
      <c r="E52" s="4"/>
      <c r="F52" s="4"/>
      <c r="G52" s="4"/>
      <c r="H52" s="51">
        <f>H36*1.08</f>
        <v>114048.00000000001</v>
      </c>
      <c r="I52" s="42">
        <f t="shared" si="0"/>
        <v>0</v>
      </c>
    </row>
    <row r="53" spans="1:9" ht="12.75" customHeight="1" hidden="1">
      <c r="A53" s="92"/>
      <c r="B53" s="4" t="s">
        <v>10</v>
      </c>
      <c r="C53" s="4"/>
      <c r="D53" s="4"/>
      <c r="E53" s="4"/>
      <c r="F53" s="4"/>
      <c r="G53" s="4"/>
      <c r="H53" s="63">
        <v>20000</v>
      </c>
      <c r="I53" s="59">
        <f t="shared" si="0"/>
        <v>0</v>
      </c>
    </row>
    <row r="54" spans="1:9" ht="12.75">
      <c r="A54" s="92"/>
      <c r="B54" s="4" t="s">
        <v>4</v>
      </c>
      <c r="C54" s="4"/>
      <c r="D54" s="4"/>
      <c r="E54" s="4"/>
      <c r="F54" s="4"/>
      <c r="G54" s="4"/>
      <c r="H54" s="58">
        <f>SUM(H48:H53)</f>
        <v>1250628.208</v>
      </c>
      <c r="I54" s="44">
        <f>SUM(I48:I53)</f>
        <v>0</v>
      </c>
    </row>
    <row r="55" spans="1:14" ht="15.75" customHeight="1" thickBot="1">
      <c r="A55" s="93"/>
      <c r="B55" s="53" t="s">
        <v>12</v>
      </c>
      <c r="C55" s="53"/>
      <c r="D55" s="53"/>
      <c r="E55" s="53"/>
      <c r="F55" s="53"/>
      <c r="G55" s="53"/>
      <c r="H55" s="64">
        <f>H45-H47-H54</f>
        <v>4735371.791999999</v>
      </c>
      <c r="I55" s="61"/>
      <c r="L55">
        <f>30.2-4.5</f>
        <v>25.7</v>
      </c>
      <c r="M55">
        <v>5</v>
      </c>
      <c r="N55">
        <f>L55*M55/100</f>
        <v>1.285</v>
      </c>
    </row>
    <row r="56" ht="12.75" hidden="1"/>
    <row r="57" ht="12.75" hidden="1"/>
    <row r="58" ht="6" customHeight="1" thickBot="1">
      <c r="B58" s="35"/>
    </row>
    <row r="59" spans="1:9" s="36" customFormat="1" ht="11.25">
      <c r="A59" s="88" t="s">
        <v>45</v>
      </c>
      <c r="B59" s="46" t="s">
        <v>1</v>
      </c>
      <c r="C59" s="46"/>
      <c r="D59" s="46" t="s">
        <v>3</v>
      </c>
      <c r="E59" s="46" t="s">
        <v>34</v>
      </c>
      <c r="F59" s="46"/>
      <c r="G59" s="46"/>
      <c r="H59" s="47" t="s">
        <v>0</v>
      </c>
      <c r="I59" s="41" t="s">
        <v>18</v>
      </c>
    </row>
    <row r="60" spans="1:9" ht="14.25" customHeight="1">
      <c r="A60" s="89"/>
      <c r="B60" s="4" t="s">
        <v>2</v>
      </c>
      <c r="C60" s="4"/>
      <c r="D60" s="7">
        <v>210</v>
      </c>
      <c r="E60" s="30">
        <v>90</v>
      </c>
      <c r="F60" s="4"/>
      <c r="G60" s="4"/>
      <c r="H60" s="49">
        <f>D60*E60*365</f>
        <v>6898500</v>
      </c>
      <c r="I60" s="42"/>
    </row>
    <row r="61" spans="1:9" ht="12.75" customHeight="1" hidden="1">
      <c r="A61" s="89"/>
      <c r="B61" s="4" t="s">
        <v>19</v>
      </c>
      <c r="C61" s="4"/>
      <c r="D61" s="4"/>
      <c r="E61" s="4"/>
      <c r="F61" s="4"/>
      <c r="G61" s="4"/>
      <c r="H61" s="50"/>
      <c r="I61" s="44"/>
    </row>
    <row r="62" spans="1:9" ht="12.75" customHeight="1" hidden="1">
      <c r="A62" s="89"/>
      <c r="B62" s="4" t="s">
        <v>5</v>
      </c>
      <c r="C62" s="4" t="s">
        <v>6</v>
      </c>
      <c r="D62" s="4"/>
      <c r="E62" s="4"/>
      <c r="F62" s="4"/>
      <c r="G62" s="4"/>
      <c r="H62" s="51"/>
      <c r="I62" s="42">
        <f>H62*1</f>
        <v>0</v>
      </c>
    </row>
    <row r="63" spans="1:9" ht="12.75" customHeight="1" hidden="1">
      <c r="A63" s="89"/>
      <c r="B63" s="4" t="s">
        <v>15</v>
      </c>
      <c r="C63" s="4"/>
      <c r="D63" s="4"/>
      <c r="E63" s="4"/>
      <c r="F63" s="4"/>
      <c r="G63" s="4"/>
      <c r="H63" s="51"/>
      <c r="I63" s="42">
        <f>H63</f>
        <v>0</v>
      </c>
    </row>
    <row r="64" spans="1:9" ht="12.75" customHeight="1" hidden="1">
      <c r="A64" s="89"/>
      <c r="B64" s="4" t="s">
        <v>17</v>
      </c>
      <c r="C64" s="4"/>
      <c r="D64" s="4"/>
      <c r="E64" s="4"/>
      <c r="F64" s="4"/>
      <c r="G64" s="4"/>
      <c r="H64" s="51"/>
      <c r="I64" s="42"/>
    </row>
    <row r="65" spans="1:9" ht="12.75" customHeight="1" hidden="1">
      <c r="A65" s="89"/>
      <c r="B65" s="4" t="s">
        <v>13</v>
      </c>
      <c r="C65" s="4" t="s">
        <v>14</v>
      </c>
      <c r="D65" s="4"/>
      <c r="E65" s="4"/>
      <c r="F65" s="4"/>
      <c r="G65" s="4"/>
      <c r="H65" s="51"/>
      <c r="I65" s="42"/>
    </row>
    <row r="66" spans="1:9" ht="12.75" customHeight="1" hidden="1">
      <c r="A66" s="89"/>
      <c r="B66" s="4" t="s">
        <v>7</v>
      </c>
      <c r="C66" s="4"/>
      <c r="D66" s="4"/>
      <c r="E66" s="4"/>
      <c r="F66" s="4"/>
      <c r="G66" s="4"/>
      <c r="H66" s="51"/>
      <c r="I66" s="42"/>
    </row>
    <row r="67" spans="1:9" ht="12.75" customHeight="1" hidden="1">
      <c r="A67" s="89"/>
      <c r="B67" s="4" t="s">
        <v>8</v>
      </c>
      <c r="C67" s="4"/>
      <c r="D67" s="4"/>
      <c r="E67" s="4"/>
      <c r="F67" s="4"/>
      <c r="G67" s="4"/>
      <c r="H67" s="51"/>
      <c r="I67" s="42"/>
    </row>
    <row r="68" spans="1:9" ht="12.75" customHeight="1" hidden="1">
      <c r="A68" s="89"/>
      <c r="B68" s="4" t="s">
        <v>11</v>
      </c>
      <c r="C68" s="4"/>
      <c r="D68" s="4"/>
      <c r="E68" s="4"/>
      <c r="F68" s="4"/>
      <c r="G68" s="4"/>
      <c r="H68" s="51"/>
      <c r="I68" s="42"/>
    </row>
    <row r="69" spans="1:9" ht="12.75" customHeight="1" hidden="1">
      <c r="A69" s="89"/>
      <c r="B69" s="4" t="s">
        <v>9</v>
      </c>
      <c r="C69" s="4"/>
      <c r="D69" s="4"/>
      <c r="E69" s="4"/>
      <c r="F69" s="4"/>
      <c r="G69" s="4"/>
      <c r="H69" s="51"/>
      <c r="I69" s="42"/>
    </row>
    <row r="70" spans="1:9" ht="12.75" customHeight="1" hidden="1">
      <c r="A70" s="89"/>
      <c r="B70" s="4" t="s">
        <v>10</v>
      </c>
      <c r="C70" s="4"/>
      <c r="D70" s="4"/>
      <c r="E70" s="4"/>
      <c r="F70" s="4"/>
      <c r="G70" s="4"/>
      <c r="H70" s="51"/>
      <c r="I70" s="42"/>
    </row>
    <row r="71" spans="1:9" ht="12.75">
      <c r="A71" s="89"/>
      <c r="B71" s="4" t="s">
        <v>20</v>
      </c>
      <c r="C71" s="4"/>
      <c r="D71" s="4"/>
      <c r="E71" s="4"/>
      <c r="F71" s="4"/>
      <c r="G71" s="4"/>
      <c r="H71" s="58">
        <f>H54*1.08</f>
        <v>1350678.4646400001</v>
      </c>
      <c r="I71" s="44">
        <f>I54*1.1</f>
        <v>0</v>
      </c>
    </row>
    <row r="72" spans="1:14" ht="15" customHeight="1" thickBot="1">
      <c r="A72" s="90"/>
      <c r="B72" s="53" t="s">
        <v>12</v>
      </c>
      <c r="C72" s="53"/>
      <c r="D72" s="53"/>
      <c r="E72" s="53"/>
      <c r="F72" s="53"/>
      <c r="G72" s="53"/>
      <c r="H72" s="54">
        <f>H60-H71-H61</f>
        <v>5547821.53536</v>
      </c>
      <c r="I72" s="45"/>
      <c r="L72">
        <f>L55-6.8</f>
        <v>18.9</v>
      </c>
      <c r="M72">
        <v>5</v>
      </c>
      <c r="N72">
        <f>L72*5%</f>
        <v>0.945</v>
      </c>
    </row>
    <row r="73" spans="2:9" ht="12.75" hidden="1">
      <c r="B73" s="22"/>
      <c r="C73" s="22"/>
      <c r="D73" s="22"/>
      <c r="E73" s="22"/>
      <c r="F73" s="22"/>
      <c r="G73" s="22"/>
      <c r="H73" s="22"/>
      <c r="I73" s="4"/>
    </row>
    <row r="74" ht="6" customHeight="1" thickBot="1">
      <c r="B74" s="35"/>
    </row>
    <row r="75" spans="1:9" ht="12.75">
      <c r="A75" s="85" t="s">
        <v>46</v>
      </c>
      <c r="B75" s="56" t="s">
        <v>1</v>
      </c>
      <c r="C75" s="56"/>
      <c r="D75" s="56" t="s">
        <v>3</v>
      </c>
      <c r="E75" s="46" t="s">
        <v>34</v>
      </c>
      <c r="F75" s="56"/>
      <c r="G75" s="56"/>
      <c r="H75" s="57" t="s">
        <v>0</v>
      </c>
      <c r="I75" s="44"/>
    </row>
    <row r="76" spans="1:9" ht="15.75">
      <c r="A76" s="86"/>
      <c r="B76" s="4" t="s">
        <v>2</v>
      </c>
      <c r="C76" s="4"/>
      <c r="D76" s="7">
        <v>220</v>
      </c>
      <c r="E76" s="30">
        <v>100</v>
      </c>
      <c r="F76" s="4"/>
      <c r="G76" s="4"/>
      <c r="H76" s="49">
        <f>D76*E76*365</f>
        <v>8030000</v>
      </c>
      <c r="I76" s="42"/>
    </row>
    <row r="77" spans="1:9" ht="12.75" customHeight="1" hidden="1">
      <c r="A77" s="86"/>
      <c r="B77" s="4" t="s">
        <v>19</v>
      </c>
      <c r="C77" s="4"/>
      <c r="D77" s="4"/>
      <c r="E77" s="4"/>
      <c r="F77" s="4"/>
      <c r="G77" s="4"/>
      <c r="H77" s="50"/>
      <c r="I77" s="44"/>
    </row>
    <row r="78" spans="1:9" ht="12.75" customHeight="1" hidden="1">
      <c r="A78" s="86"/>
      <c r="B78" s="4" t="s">
        <v>5</v>
      </c>
      <c r="C78" s="4" t="s">
        <v>6</v>
      </c>
      <c r="D78" s="4"/>
      <c r="E78" s="4"/>
      <c r="F78" s="4"/>
      <c r="G78" s="4"/>
      <c r="H78" s="51"/>
      <c r="I78" s="42">
        <f>H78*1</f>
        <v>0</v>
      </c>
    </row>
    <row r="79" spans="1:9" ht="12.75" customHeight="1" hidden="1">
      <c r="A79" s="86"/>
      <c r="B79" s="4" t="s">
        <v>15</v>
      </c>
      <c r="C79" s="4"/>
      <c r="D79" s="4"/>
      <c r="E79" s="4"/>
      <c r="F79" s="4"/>
      <c r="G79" s="4"/>
      <c r="H79" s="51"/>
      <c r="I79" s="42">
        <f>H79</f>
        <v>0</v>
      </c>
    </row>
    <row r="80" spans="1:9" ht="12.75" customHeight="1" hidden="1">
      <c r="A80" s="86"/>
      <c r="B80" s="4" t="s">
        <v>17</v>
      </c>
      <c r="C80" s="4"/>
      <c r="D80" s="4"/>
      <c r="E80" s="4"/>
      <c r="F80" s="4"/>
      <c r="G80" s="4"/>
      <c r="H80" s="51"/>
      <c r="I80" s="42"/>
    </row>
    <row r="81" spans="1:9" ht="12.75" customHeight="1" hidden="1">
      <c r="A81" s="86"/>
      <c r="B81" s="4" t="s">
        <v>13</v>
      </c>
      <c r="C81" s="4" t="s">
        <v>14</v>
      </c>
      <c r="D81" s="4"/>
      <c r="E81" s="4"/>
      <c r="F81" s="4"/>
      <c r="G81" s="4"/>
      <c r="H81" s="51"/>
      <c r="I81" s="42"/>
    </row>
    <row r="82" spans="1:9" ht="12.75" customHeight="1" hidden="1">
      <c r="A82" s="86"/>
      <c r="B82" s="4" t="s">
        <v>7</v>
      </c>
      <c r="C82" s="4"/>
      <c r="D82" s="4"/>
      <c r="E82" s="4"/>
      <c r="F82" s="4"/>
      <c r="G82" s="4"/>
      <c r="H82" s="51"/>
      <c r="I82" s="42"/>
    </row>
    <row r="83" spans="1:9" ht="12.75" customHeight="1" hidden="1">
      <c r="A83" s="86"/>
      <c r="B83" s="4" t="s">
        <v>8</v>
      </c>
      <c r="C83" s="4"/>
      <c r="D83" s="4"/>
      <c r="E83" s="4"/>
      <c r="F83" s="4"/>
      <c r="G83" s="4"/>
      <c r="H83" s="51"/>
      <c r="I83" s="42"/>
    </row>
    <row r="84" spans="1:9" ht="12.75" customHeight="1" hidden="1">
      <c r="A84" s="86"/>
      <c r="B84" s="4" t="s">
        <v>11</v>
      </c>
      <c r="C84" s="4"/>
      <c r="D84" s="4"/>
      <c r="E84" s="4"/>
      <c r="F84" s="4"/>
      <c r="G84" s="4"/>
      <c r="H84" s="51"/>
      <c r="I84" s="42"/>
    </row>
    <row r="85" spans="1:9" ht="12.75" customHeight="1" hidden="1">
      <c r="A85" s="86"/>
      <c r="B85" s="4" t="s">
        <v>9</v>
      </c>
      <c r="C85" s="4"/>
      <c r="D85" s="4"/>
      <c r="E85" s="4"/>
      <c r="F85" s="4"/>
      <c r="G85" s="4"/>
      <c r="H85" s="51"/>
      <c r="I85" s="42"/>
    </row>
    <row r="86" spans="1:9" ht="12.75" customHeight="1" hidden="1">
      <c r="A86" s="86"/>
      <c r="B86" s="4" t="s">
        <v>10</v>
      </c>
      <c r="C86" s="4"/>
      <c r="D86" s="4"/>
      <c r="E86" s="4"/>
      <c r="F86" s="4"/>
      <c r="G86" s="4"/>
      <c r="H86" s="51"/>
      <c r="I86" s="42"/>
    </row>
    <row r="87" spans="1:9" ht="15" customHeight="1">
      <c r="A87" s="86"/>
      <c r="B87" s="4" t="s">
        <v>20</v>
      </c>
      <c r="C87" s="4"/>
      <c r="D87" s="4"/>
      <c r="E87" s="4"/>
      <c r="F87" s="4"/>
      <c r="G87" s="4"/>
      <c r="H87" s="58">
        <f>H71*1.09</f>
        <v>1472239.5264576003</v>
      </c>
      <c r="I87" s="44">
        <f>I70*1.1</f>
        <v>0</v>
      </c>
    </row>
    <row r="88" spans="1:14" ht="16.5" customHeight="1" thickBot="1">
      <c r="A88" s="87"/>
      <c r="B88" s="53" t="s">
        <v>12</v>
      </c>
      <c r="C88" s="53"/>
      <c r="D88" s="53"/>
      <c r="E88" s="53"/>
      <c r="F88" s="53"/>
      <c r="G88" s="53"/>
      <c r="H88" s="54">
        <f>H76-H77-H87</f>
        <v>6557760.4735424</v>
      </c>
      <c r="I88" s="45"/>
      <c r="L88">
        <f>L71-6.8</f>
        <v>-6.8</v>
      </c>
      <c r="M88">
        <v>5</v>
      </c>
      <c r="N88">
        <f>L88*5%</f>
        <v>-0.34</v>
      </c>
    </row>
    <row r="89" spans="2:9" ht="12.75" hidden="1">
      <c r="B89" s="22"/>
      <c r="C89" s="22"/>
      <c r="D89" s="22"/>
      <c r="E89" s="22"/>
      <c r="F89" s="22"/>
      <c r="G89" s="22"/>
      <c r="H89" s="22"/>
      <c r="I89" s="4"/>
    </row>
    <row r="90" ht="15.75" customHeight="1" hidden="1"/>
    <row r="91" ht="5.25" customHeight="1" thickBot="1">
      <c r="B91" s="35"/>
    </row>
    <row r="92" spans="1:9" ht="12.75">
      <c r="A92" s="85" t="s">
        <v>47</v>
      </c>
      <c r="B92" s="56"/>
      <c r="C92" s="56"/>
      <c r="D92" s="56" t="s">
        <v>3</v>
      </c>
      <c r="E92" s="46" t="s">
        <v>34</v>
      </c>
      <c r="F92" s="56"/>
      <c r="G92" s="56"/>
      <c r="H92" s="57" t="s">
        <v>0</v>
      </c>
      <c r="I92" s="44"/>
    </row>
    <row r="93" spans="1:9" ht="15.75">
      <c r="A93" s="86"/>
      <c r="B93" s="4" t="s">
        <v>1</v>
      </c>
      <c r="C93" s="4"/>
      <c r="D93" s="7">
        <v>220</v>
      </c>
      <c r="E93" s="30">
        <v>110</v>
      </c>
      <c r="F93" s="4"/>
      <c r="G93" s="4"/>
      <c r="H93" s="49">
        <f>D93*E93*365</f>
        <v>8833000</v>
      </c>
      <c r="I93" s="42"/>
    </row>
    <row r="94" spans="1:9" ht="14.25" customHeight="1" hidden="1">
      <c r="A94" s="86"/>
      <c r="B94" s="97"/>
      <c r="C94" s="98"/>
      <c r="D94" s="98"/>
      <c r="E94" s="98"/>
      <c r="F94" s="98"/>
      <c r="G94" s="98"/>
      <c r="H94" s="99"/>
      <c r="I94" s="43">
        <f>SUM(I93:I93)</f>
        <v>0</v>
      </c>
    </row>
    <row r="95" spans="1:9" ht="12.75" customHeight="1" hidden="1">
      <c r="A95" s="86"/>
      <c r="B95" s="4" t="s">
        <v>19</v>
      </c>
      <c r="C95" s="4"/>
      <c r="D95" s="4"/>
      <c r="E95" s="4"/>
      <c r="F95" s="4"/>
      <c r="G95" s="4"/>
      <c r="H95" s="50"/>
      <c r="I95" s="44"/>
    </row>
    <row r="96" spans="1:9" ht="12.75" customHeight="1" hidden="1">
      <c r="A96" s="86"/>
      <c r="B96" s="4" t="s">
        <v>5</v>
      </c>
      <c r="C96" s="4" t="s">
        <v>6</v>
      </c>
      <c r="D96" s="4"/>
      <c r="E96" s="4"/>
      <c r="F96" s="4"/>
      <c r="G96" s="4"/>
      <c r="H96" s="51"/>
      <c r="I96" s="42">
        <f>H96*1</f>
        <v>0</v>
      </c>
    </row>
    <row r="97" spans="1:9" ht="12.75" customHeight="1" hidden="1">
      <c r="A97" s="86"/>
      <c r="B97" s="4" t="s">
        <v>15</v>
      </c>
      <c r="C97" s="4"/>
      <c r="D97" s="4"/>
      <c r="E97" s="4"/>
      <c r="F97" s="4"/>
      <c r="G97" s="4"/>
      <c r="H97" s="51"/>
      <c r="I97" s="42">
        <f>H97</f>
        <v>0</v>
      </c>
    </row>
    <row r="98" spans="1:9" ht="12.75" customHeight="1" hidden="1">
      <c r="A98" s="86"/>
      <c r="B98" s="4" t="s">
        <v>17</v>
      </c>
      <c r="C98" s="4"/>
      <c r="D98" s="4"/>
      <c r="E98" s="4"/>
      <c r="F98" s="4"/>
      <c r="G98" s="4"/>
      <c r="H98" s="51"/>
      <c r="I98" s="42"/>
    </row>
    <row r="99" spans="1:9" ht="12.75" customHeight="1" hidden="1">
      <c r="A99" s="86"/>
      <c r="B99" s="4" t="s">
        <v>13</v>
      </c>
      <c r="C99" s="4" t="s">
        <v>14</v>
      </c>
      <c r="D99" s="4"/>
      <c r="E99" s="4"/>
      <c r="F99" s="4"/>
      <c r="G99" s="4"/>
      <c r="H99" s="51"/>
      <c r="I99" s="42"/>
    </row>
    <row r="100" spans="1:9" ht="12.75" customHeight="1" hidden="1">
      <c r="A100" s="86"/>
      <c r="B100" s="4" t="s">
        <v>7</v>
      </c>
      <c r="C100" s="4"/>
      <c r="D100" s="4"/>
      <c r="E100" s="4"/>
      <c r="F100" s="4"/>
      <c r="G100" s="4"/>
      <c r="H100" s="51"/>
      <c r="I100" s="42"/>
    </row>
    <row r="101" spans="1:9" ht="12.75" customHeight="1" hidden="1">
      <c r="A101" s="86"/>
      <c r="B101" s="4" t="s">
        <v>8</v>
      </c>
      <c r="C101" s="4"/>
      <c r="D101" s="4"/>
      <c r="E101" s="4"/>
      <c r="F101" s="4"/>
      <c r="G101" s="4"/>
      <c r="H101" s="51"/>
      <c r="I101" s="42"/>
    </row>
    <row r="102" spans="1:9" ht="12.75" customHeight="1" hidden="1">
      <c r="A102" s="86"/>
      <c r="B102" s="4" t="s">
        <v>11</v>
      </c>
      <c r="C102" s="4"/>
      <c r="D102" s="4"/>
      <c r="E102" s="4"/>
      <c r="F102" s="4"/>
      <c r="G102" s="4"/>
      <c r="H102" s="51"/>
      <c r="I102" s="42"/>
    </row>
    <row r="103" spans="1:9" ht="12.75" customHeight="1" hidden="1">
      <c r="A103" s="86"/>
      <c r="B103" s="4" t="s">
        <v>9</v>
      </c>
      <c r="C103" s="4"/>
      <c r="D103" s="4"/>
      <c r="E103" s="4"/>
      <c r="F103" s="4"/>
      <c r="G103" s="4"/>
      <c r="H103" s="51"/>
      <c r="I103" s="42"/>
    </row>
    <row r="104" spans="1:9" ht="12.75">
      <c r="A104" s="86"/>
      <c r="B104" s="4" t="s">
        <v>20</v>
      </c>
      <c r="C104" s="4"/>
      <c r="D104" s="4"/>
      <c r="E104" s="4"/>
      <c r="F104" s="4"/>
      <c r="G104" s="4"/>
      <c r="H104" s="58">
        <f>H87*1.08</f>
        <v>1590018.6885742084</v>
      </c>
      <c r="I104" s="44">
        <f>I85*1.1</f>
        <v>0</v>
      </c>
    </row>
    <row r="105" spans="1:14" ht="16.5" thickBot="1">
      <c r="A105" s="87"/>
      <c r="B105" s="53" t="s">
        <v>12</v>
      </c>
      <c r="C105" s="53"/>
      <c r="D105" s="53"/>
      <c r="E105" s="53"/>
      <c r="F105" s="53"/>
      <c r="G105" s="53"/>
      <c r="H105" s="54">
        <f>H93-H14-H95-H104-6</f>
        <v>7242975.311425792</v>
      </c>
      <c r="I105" s="45"/>
      <c r="L105">
        <f>L86-6.8</f>
        <v>-6.8</v>
      </c>
      <c r="M105">
        <v>5</v>
      </c>
      <c r="N105">
        <f>L105*5%</f>
        <v>-0.34</v>
      </c>
    </row>
    <row r="106" spans="2:9" ht="12.75" hidden="1">
      <c r="B106" s="22"/>
      <c r="C106" s="22"/>
      <c r="D106" s="22"/>
      <c r="E106" s="22"/>
      <c r="F106" s="22"/>
      <c r="G106" s="22"/>
      <c r="H106" s="22"/>
      <c r="I106" s="4"/>
    </row>
    <row r="107" ht="12.75" hidden="1"/>
    <row r="108" ht="12.75" hidden="1"/>
    <row r="109" ht="5.25" customHeight="1" thickBot="1">
      <c r="B109" s="35"/>
    </row>
    <row r="110" spans="1:9" ht="12.75">
      <c r="A110" s="85" t="s">
        <v>48</v>
      </c>
      <c r="B110" s="56"/>
      <c r="C110" s="56"/>
      <c r="D110" s="56" t="s">
        <v>3</v>
      </c>
      <c r="E110" s="46" t="s">
        <v>34</v>
      </c>
      <c r="F110" s="56"/>
      <c r="G110" s="56"/>
      <c r="H110" s="57" t="s">
        <v>0</v>
      </c>
      <c r="I110" s="44"/>
    </row>
    <row r="111" spans="1:9" ht="14.25" customHeight="1">
      <c r="A111" s="86"/>
      <c r="B111" s="4" t="s">
        <v>1</v>
      </c>
      <c r="C111" s="4"/>
      <c r="D111" s="7">
        <v>220</v>
      </c>
      <c r="E111" s="30">
        <v>120</v>
      </c>
      <c r="F111" s="4"/>
      <c r="G111" s="4"/>
      <c r="H111" s="49">
        <f>D111*E111*365</f>
        <v>9636000</v>
      </c>
      <c r="I111" s="42"/>
    </row>
    <row r="112" spans="1:9" ht="14.25" customHeight="1" hidden="1">
      <c r="A112" s="86"/>
      <c r="B112" s="97" t="s">
        <v>16</v>
      </c>
      <c r="C112" s="98"/>
      <c r="D112" s="98"/>
      <c r="E112" s="98"/>
      <c r="F112" s="98"/>
      <c r="G112" s="98"/>
      <c r="H112" s="99"/>
      <c r="I112" s="43"/>
    </row>
    <row r="113" spans="1:9" ht="12.75" customHeight="1" hidden="1">
      <c r="A113" s="86"/>
      <c r="B113" s="4" t="s">
        <v>19</v>
      </c>
      <c r="C113" s="4"/>
      <c r="D113" s="4"/>
      <c r="E113" s="4"/>
      <c r="F113" s="4"/>
      <c r="G113" s="4"/>
      <c r="H113" s="50">
        <v>1650000</v>
      </c>
      <c r="I113" s="44"/>
    </row>
    <row r="114" spans="1:9" ht="12.75" customHeight="1" hidden="1">
      <c r="A114" s="86"/>
      <c r="B114" s="4" t="s">
        <v>5</v>
      </c>
      <c r="C114" s="4" t="s">
        <v>6</v>
      </c>
      <c r="D114" s="4"/>
      <c r="E114" s="4"/>
      <c r="F114" s="4"/>
      <c r="G114" s="4"/>
      <c r="H114" s="51"/>
      <c r="I114" s="42">
        <f>H114*1</f>
        <v>0</v>
      </c>
    </row>
    <row r="115" spans="1:9" ht="12.75" customHeight="1" hidden="1">
      <c r="A115" s="86"/>
      <c r="B115" s="4" t="s">
        <v>15</v>
      </c>
      <c r="C115" s="4"/>
      <c r="D115" s="4"/>
      <c r="E115" s="4"/>
      <c r="F115" s="4"/>
      <c r="G115" s="4"/>
      <c r="H115" s="51"/>
      <c r="I115" s="42">
        <f>H115</f>
        <v>0</v>
      </c>
    </row>
    <row r="116" spans="1:9" ht="12.75" customHeight="1" hidden="1">
      <c r="A116" s="86"/>
      <c r="B116" s="4" t="s">
        <v>17</v>
      </c>
      <c r="C116" s="4"/>
      <c r="D116" s="4"/>
      <c r="E116" s="4"/>
      <c r="F116" s="4"/>
      <c r="G116" s="4"/>
      <c r="H116" s="51"/>
      <c r="I116" s="42"/>
    </row>
    <row r="117" spans="1:9" ht="12.75" customHeight="1" hidden="1">
      <c r="A117" s="86"/>
      <c r="B117" s="4" t="s">
        <v>13</v>
      </c>
      <c r="C117" s="4" t="s">
        <v>14</v>
      </c>
      <c r="D117" s="4"/>
      <c r="E117" s="4"/>
      <c r="F117" s="4"/>
      <c r="G117" s="4"/>
      <c r="H117" s="51"/>
      <c r="I117" s="42"/>
    </row>
    <row r="118" spans="1:9" ht="12.75" customHeight="1" hidden="1">
      <c r="A118" s="86"/>
      <c r="B118" s="4" t="s">
        <v>7</v>
      </c>
      <c r="C118" s="4"/>
      <c r="D118" s="4"/>
      <c r="E118" s="4"/>
      <c r="F118" s="4"/>
      <c r="G118" s="4"/>
      <c r="H118" s="51"/>
      <c r="I118" s="42"/>
    </row>
    <row r="119" spans="1:9" ht="12.75" customHeight="1" hidden="1">
      <c r="A119" s="86"/>
      <c r="B119" s="4" t="s">
        <v>8</v>
      </c>
      <c r="C119" s="4"/>
      <c r="D119" s="4"/>
      <c r="E119" s="4"/>
      <c r="F119" s="4"/>
      <c r="G119" s="4"/>
      <c r="H119" s="51"/>
      <c r="I119" s="42"/>
    </row>
    <row r="120" spans="1:9" ht="12.75" customHeight="1" hidden="1">
      <c r="A120" s="86"/>
      <c r="B120" s="4" t="s">
        <v>11</v>
      </c>
      <c r="C120" s="4"/>
      <c r="D120" s="4"/>
      <c r="E120" s="4"/>
      <c r="F120" s="4"/>
      <c r="G120" s="4"/>
      <c r="H120" s="51"/>
      <c r="I120" s="42"/>
    </row>
    <row r="121" spans="1:9" ht="12.75" customHeight="1" hidden="1">
      <c r="A121" s="86"/>
      <c r="B121" s="4" t="s">
        <v>9</v>
      </c>
      <c r="C121" s="4"/>
      <c r="D121" s="4"/>
      <c r="E121" s="4"/>
      <c r="F121" s="4"/>
      <c r="G121" s="4"/>
      <c r="H121" s="51"/>
      <c r="I121" s="42"/>
    </row>
    <row r="122" spans="1:9" ht="12.75" customHeight="1" hidden="1">
      <c r="A122" s="86"/>
      <c r="B122" s="4" t="s">
        <v>10</v>
      </c>
      <c r="C122" s="4"/>
      <c r="D122" s="4"/>
      <c r="E122" s="4"/>
      <c r="F122" s="4"/>
      <c r="G122" s="4"/>
      <c r="H122" s="51"/>
      <c r="I122" s="42"/>
    </row>
    <row r="123" spans="1:9" ht="12.75">
      <c r="A123" s="86"/>
      <c r="B123" s="4" t="s">
        <v>20</v>
      </c>
      <c r="C123" s="4"/>
      <c r="D123" s="4"/>
      <c r="E123" s="4"/>
      <c r="F123" s="4"/>
      <c r="G123" s="4"/>
      <c r="H123" s="51">
        <f>H104*1.08</f>
        <v>1717220.1836601452</v>
      </c>
      <c r="I123" s="42"/>
    </row>
    <row r="124" spans="1:14" ht="16.5" thickBot="1">
      <c r="A124" s="87"/>
      <c r="B124" s="53" t="s">
        <v>12</v>
      </c>
      <c r="C124" s="53"/>
      <c r="D124" s="53"/>
      <c r="E124" s="53"/>
      <c r="F124" s="53"/>
      <c r="G124" s="53"/>
      <c r="H124" s="54">
        <f>H111-H123</f>
        <v>7918779.816339855</v>
      </c>
      <c r="I124" s="45"/>
      <c r="L124">
        <f>L104-6.8</f>
        <v>-6.8</v>
      </c>
      <c r="M124">
        <v>5</v>
      </c>
      <c r="N124">
        <f>L124*5%</f>
        <v>-0.34</v>
      </c>
    </row>
    <row r="125" spans="2:9" ht="12.75" hidden="1">
      <c r="B125" s="22"/>
      <c r="C125" s="22"/>
      <c r="D125" s="22"/>
      <c r="E125" s="22"/>
      <c r="F125" s="22"/>
      <c r="G125" s="22"/>
      <c r="H125" s="22"/>
      <c r="I125" s="4"/>
    </row>
    <row r="126" ht="5.25" customHeight="1" thickBot="1">
      <c r="B126" s="35"/>
    </row>
    <row r="127" spans="1:9" s="38" customFormat="1" ht="11.25">
      <c r="A127" s="85" t="s">
        <v>38</v>
      </c>
      <c r="B127" s="46"/>
      <c r="C127" s="46"/>
      <c r="D127" s="46" t="s">
        <v>3</v>
      </c>
      <c r="E127" s="46" t="s">
        <v>34</v>
      </c>
      <c r="F127" s="46"/>
      <c r="G127" s="46"/>
      <c r="H127" s="47" t="s">
        <v>0</v>
      </c>
      <c r="I127" s="41"/>
    </row>
    <row r="128" spans="1:9" ht="14.25" customHeight="1">
      <c r="A128" s="86"/>
      <c r="B128" s="4" t="s">
        <v>1</v>
      </c>
      <c r="C128" s="4"/>
      <c r="D128" s="7">
        <v>220</v>
      </c>
      <c r="E128" s="30">
        <v>125</v>
      </c>
      <c r="F128" s="4"/>
      <c r="G128" s="4"/>
      <c r="H128" s="49">
        <f>D128*E128*365</f>
        <v>10037500</v>
      </c>
      <c r="I128" s="42"/>
    </row>
    <row r="129" spans="1:9" ht="14.25" customHeight="1" hidden="1">
      <c r="A129" s="86"/>
      <c r="B129" s="97" t="s">
        <v>16</v>
      </c>
      <c r="C129" s="98"/>
      <c r="D129" s="98"/>
      <c r="E129" s="98"/>
      <c r="F129" s="98"/>
      <c r="G129" s="98"/>
      <c r="H129" s="99"/>
      <c r="I129" s="43"/>
    </row>
    <row r="130" spans="1:9" ht="12.75" customHeight="1" hidden="1">
      <c r="A130" s="86"/>
      <c r="B130" s="4" t="s">
        <v>19</v>
      </c>
      <c r="C130" s="4"/>
      <c r="D130" s="4"/>
      <c r="E130" s="4"/>
      <c r="F130" s="4"/>
      <c r="G130" s="4"/>
      <c r="H130" s="50">
        <v>1650000</v>
      </c>
      <c r="I130" s="44"/>
    </row>
    <row r="131" spans="1:9" ht="12.75" customHeight="1" hidden="1">
      <c r="A131" s="86"/>
      <c r="B131" s="4" t="s">
        <v>5</v>
      </c>
      <c r="C131" s="4" t="s">
        <v>6</v>
      </c>
      <c r="D131" s="4"/>
      <c r="E131" s="4"/>
      <c r="F131" s="4"/>
      <c r="G131" s="4"/>
      <c r="H131" s="51"/>
      <c r="I131" s="42">
        <f>H131*1</f>
        <v>0</v>
      </c>
    </row>
    <row r="132" spans="1:9" ht="12.75" customHeight="1" hidden="1">
      <c r="A132" s="86"/>
      <c r="B132" s="4" t="s">
        <v>15</v>
      </c>
      <c r="C132" s="4"/>
      <c r="D132" s="4"/>
      <c r="E132" s="4"/>
      <c r="F132" s="4"/>
      <c r="G132" s="4"/>
      <c r="H132" s="51"/>
      <c r="I132" s="42">
        <f>H132</f>
        <v>0</v>
      </c>
    </row>
    <row r="133" spans="1:9" ht="12.75" customHeight="1" hidden="1">
      <c r="A133" s="86"/>
      <c r="B133" s="4" t="s">
        <v>17</v>
      </c>
      <c r="C133" s="4"/>
      <c r="D133" s="4"/>
      <c r="E133" s="4"/>
      <c r="F133" s="4"/>
      <c r="G133" s="4"/>
      <c r="H133" s="51"/>
      <c r="I133" s="42"/>
    </row>
    <row r="134" spans="1:9" ht="12.75" customHeight="1" hidden="1">
      <c r="A134" s="86"/>
      <c r="B134" s="4" t="s">
        <v>13</v>
      </c>
      <c r="C134" s="4" t="s">
        <v>14</v>
      </c>
      <c r="D134" s="4"/>
      <c r="E134" s="4"/>
      <c r="F134" s="4"/>
      <c r="G134" s="4"/>
      <c r="H134" s="51"/>
      <c r="I134" s="42"/>
    </row>
    <row r="135" spans="1:9" ht="12.75" customHeight="1" hidden="1">
      <c r="A135" s="86"/>
      <c r="B135" s="4" t="s">
        <v>7</v>
      </c>
      <c r="C135" s="4"/>
      <c r="D135" s="4"/>
      <c r="E135" s="4"/>
      <c r="F135" s="4"/>
      <c r="G135" s="4"/>
      <c r="H135" s="51"/>
      <c r="I135" s="42"/>
    </row>
    <row r="136" spans="1:9" ht="12.75" customHeight="1" hidden="1">
      <c r="A136" s="86"/>
      <c r="B136" s="4" t="s">
        <v>8</v>
      </c>
      <c r="C136" s="4"/>
      <c r="D136" s="4"/>
      <c r="E136" s="4"/>
      <c r="F136" s="4"/>
      <c r="G136" s="4"/>
      <c r="H136" s="51"/>
      <c r="I136" s="42"/>
    </row>
    <row r="137" spans="1:9" ht="12.75" customHeight="1" hidden="1">
      <c r="A137" s="86"/>
      <c r="B137" s="4" t="s">
        <v>11</v>
      </c>
      <c r="C137" s="4"/>
      <c r="D137" s="4"/>
      <c r="E137" s="4"/>
      <c r="F137" s="4"/>
      <c r="G137" s="4"/>
      <c r="H137" s="51"/>
      <c r="I137" s="42"/>
    </row>
    <row r="138" spans="1:9" ht="12.75" customHeight="1" hidden="1">
      <c r="A138" s="86"/>
      <c r="B138" s="4" t="s">
        <v>9</v>
      </c>
      <c r="C138" s="4"/>
      <c r="D138" s="4"/>
      <c r="E138" s="4"/>
      <c r="F138" s="4"/>
      <c r="G138" s="4"/>
      <c r="H138" s="51"/>
      <c r="I138" s="42"/>
    </row>
    <row r="139" spans="1:9" ht="12.75" customHeight="1" hidden="1">
      <c r="A139" s="86"/>
      <c r="B139" s="4" t="s">
        <v>10</v>
      </c>
      <c r="C139" s="4"/>
      <c r="D139" s="4"/>
      <c r="E139" s="4"/>
      <c r="F139" s="4"/>
      <c r="G139" s="4"/>
      <c r="H139" s="51"/>
      <c r="I139" s="42"/>
    </row>
    <row r="140" spans="1:9" ht="12.75">
      <c r="A140" s="86"/>
      <c r="B140" s="4" t="s">
        <v>20</v>
      </c>
      <c r="C140" s="4"/>
      <c r="D140" s="4"/>
      <c r="E140" s="4"/>
      <c r="F140" s="4"/>
      <c r="G140" s="4"/>
      <c r="H140" s="51">
        <f>H123*1.08</f>
        <v>1854597.7983529568</v>
      </c>
      <c r="I140" s="42"/>
    </row>
    <row r="141" spans="1:14" ht="16.5" thickBot="1">
      <c r="A141" s="87"/>
      <c r="B141" s="53" t="s">
        <v>12</v>
      </c>
      <c r="C141" s="53"/>
      <c r="D141" s="53"/>
      <c r="E141" s="53"/>
      <c r="F141" s="53"/>
      <c r="G141" s="53"/>
      <c r="H141" s="54">
        <f>H128-H140</f>
        <v>8182902.201647043</v>
      </c>
      <c r="I141" s="45"/>
      <c r="L141">
        <f>L122-6.8</f>
        <v>-6.8</v>
      </c>
      <c r="M141">
        <v>5</v>
      </c>
      <c r="N141">
        <f>L141*5%</f>
        <v>-0.34</v>
      </c>
    </row>
    <row r="142" spans="2:8" ht="12.75">
      <c r="B142" s="100" t="s">
        <v>53</v>
      </c>
      <c r="C142" s="100"/>
      <c r="D142" s="100"/>
      <c r="E142" s="100"/>
      <c r="F142" s="100"/>
      <c r="G142" s="100"/>
      <c r="H142" s="100"/>
    </row>
    <row r="143" ht="8.25" customHeight="1"/>
    <row r="144" spans="2:8" ht="63" customHeight="1">
      <c r="B144" s="84" t="s">
        <v>54</v>
      </c>
      <c r="C144" s="84"/>
      <c r="D144" s="84"/>
      <c r="E144" s="84"/>
      <c r="F144" s="84"/>
      <c r="G144" s="84"/>
      <c r="H144" s="84"/>
    </row>
  </sheetData>
  <sheetProtection/>
  <mergeCells count="13">
    <mergeCell ref="A44:A55"/>
    <mergeCell ref="B1:H1"/>
    <mergeCell ref="B20:E20"/>
    <mergeCell ref="B94:H94"/>
    <mergeCell ref="B112:H112"/>
    <mergeCell ref="B142:H142"/>
    <mergeCell ref="B129:H129"/>
    <mergeCell ref="B144:H144"/>
    <mergeCell ref="A127:A141"/>
    <mergeCell ref="A110:A124"/>
    <mergeCell ref="A92:A105"/>
    <mergeCell ref="A75:A88"/>
    <mergeCell ref="A59:A72"/>
  </mergeCells>
  <printOptions/>
  <pageMargins left="0.44" right="0.11811023622047245" top="0.31496062992125984" bottom="0.2755905511811024" header="0.15748031496062992" footer="0.15748031496062992"/>
  <pageSetup fitToHeight="1" fitToWidth="1" horizontalDpi="600" verticalDpi="600" orientation="portrait" paperSize="9" scale="91" r:id="rId1"/>
  <headerFooter>
    <oddHeader>&amp;C                                                                                           приложение 1  к Паспорту инвестиционного проекта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R37" sqref="R37"/>
    </sheetView>
  </sheetViews>
  <sheetFormatPr defaultColWidth="9.00390625" defaultRowHeight="12.75" outlineLevelRow="1"/>
  <cols>
    <col min="2" max="2" width="48.00390625" style="0" customWidth="1"/>
    <col min="3" max="3" width="0" style="0" hidden="1" customWidth="1"/>
    <col min="4" max="4" width="10.75390625" style="0" customWidth="1"/>
    <col min="5" max="5" width="14.25390625" style="0" customWidth="1"/>
    <col min="6" max="7" width="0" style="0" hidden="1" customWidth="1"/>
    <col min="8" max="8" width="18.25390625" style="0" customWidth="1"/>
    <col min="9" max="9" width="18.875" style="0" hidden="1" customWidth="1"/>
    <col min="10" max="10" width="6.375" style="0" hidden="1" customWidth="1"/>
    <col min="11" max="11" width="5.25390625" style="0" hidden="1" customWidth="1"/>
    <col min="12" max="12" width="0" style="0" hidden="1" customWidth="1"/>
    <col min="13" max="13" width="4.375" style="0" hidden="1" customWidth="1"/>
    <col min="14" max="14" width="6.125" style="0" hidden="1" customWidth="1"/>
    <col min="15" max="15" width="12.875" style="0" hidden="1" customWidth="1"/>
    <col min="17" max="17" width="12.875" style="0" bestFit="1" customWidth="1"/>
  </cols>
  <sheetData>
    <row r="1" spans="2:9" ht="16.5" customHeight="1">
      <c r="B1" s="103" t="s">
        <v>29</v>
      </c>
      <c r="C1" s="103"/>
      <c r="D1" s="103"/>
      <c r="E1" s="103"/>
      <c r="F1" s="103"/>
      <c r="G1" s="103"/>
      <c r="H1" s="103"/>
      <c r="I1" s="103"/>
    </row>
    <row r="2" spans="2:9" ht="34.5" customHeight="1" hidden="1">
      <c r="B2" s="6"/>
      <c r="C2" s="6"/>
      <c r="D2" s="6"/>
      <c r="E2" s="6"/>
      <c r="F2" s="6"/>
      <c r="G2" s="6"/>
      <c r="H2" s="6"/>
      <c r="I2" s="6"/>
    </row>
    <row r="3" spans="2:9" ht="18.75" customHeight="1">
      <c r="B3" s="4" t="s">
        <v>1</v>
      </c>
      <c r="C3" s="4"/>
      <c r="D3" s="4" t="s">
        <v>3</v>
      </c>
      <c r="E3" s="36" t="s">
        <v>34</v>
      </c>
      <c r="F3" s="4"/>
      <c r="G3" s="4"/>
      <c r="H3" s="4" t="s">
        <v>0</v>
      </c>
      <c r="I3" s="4" t="s">
        <v>21</v>
      </c>
    </row>
    <row r="4" spans="2:9" ht="12.75" customHeight="1">
      <c r="B4" s="4" t="s">
        <v>23</v>
      </c>
      <c r="C4" s="4"/>
      <c r="D4" s="7">
        <v>150</v>
      </c>
      <c r="E4" s="7">
        <v>70</v>
      </c>
      <c r="F4" s="4"/>
      <c r="G4" s="4"/>
      <c r="H4" s="8">
        <f>D4*E4*365</f>
        <v>3832500</v>
      </c>
      <c r="I4" s="9">
        <f>H4*1</f>
        <v>3832500</v>
      </c>
    </row>
    <row r="5" spans="2:9" ht="13.5" customHeight="1" thickBot="1">
      <c r="B5" s="4" t="s">
        <v>40</v>
      </c>
      <c r="C5" s="4"/>
      <c r="D5" s="7"/>
      <c r="E5" s="7"/>
      <c r="F5" s="4"/>
      <c r="G5" s="4"/>
      <c r="H5" s="8">
        <f>I5</f>
        <v>68191633.79701869</v>
      </c>
      <c r="I5" s="24">
        <f>H27+H44+H59+H74+H90+H107+H123+H139+H155</f>
        <v>68191633.79701869</v>
      </c>
    </row>
    <row r="6" spans="2:9" ht="15.75" customHeight="1">
      <c r="B6" s="26" t="s">
        <v>44</v>
      </c>
      <c r="C6" s="26"/>
      <c r="D6" s="27"/>
      <c r="E6" s="27"/>
      <c r="F6" s="26"/>
      <c r="G6" s="26"/>
      <c r="H6" s="29">
        <f>I6</f>
        <v>72024133.79701869</v>
      </c>
      <c r="I6" s="31">
        <f>I4+I5</f>
        <v>72024133.79701869</v>
      </c>
    </row>
    <row r="7" spans="2:9" ht="13.5" customHeight="1">
      <c r="B7" s="26" t="s">
        <v>41</v>
      </c>
      <c r="C7" s="26"/>
      <c r="D7" s="27"/>
      <c r="E7" s="27"/>
      <c r="F7" s="26"/>
      <c r="G7" s="26"/>
      <c r="H7" s="29">
        <f>I7</f>
        <v>15636671.879397532</v>
      </c>
      <c r="I7" s="29">
        <f>H20+H38+H53+H70+H85+H101+H119+H135+H151+H167</f>
        <v>15636671.879397532</v>
      </c>
    </row>
    <row r="8" spans="2:9" ht="14.25" customHeight="1">
      <c r="B8" s="26" t="s">
        <v>42</v>
      </c>
      <c r="C8" s="26"/>
      <c r="D8" s="27"/>
      <c r="E8" s="27"/>
      <c r="F8" s="26"/>
      <c r="G8" s="26"/>
      <c r="H8" s="29">
        <f>I8</f>
        <v>18800000</v>
      </c>
      <c r="I8" s="29">
        <f>1880000*10</f>
        <v>18800000</v>
      </c>
    </row>
    <row r="9" spans="2:17" ht="15.75" customHeight="1">
      <c r="B9" s="28" t="s">
        <v>24</v>
      </c>
      <c r="C9" s="26"/>
      <c r="D9" s="27"/>
      <c r="E9" s="27"/>
      <c r="F9" s="26"/>
      <c r="G9" s="26"/>
      <c r="H9" s="29">
        <f>I9</f>
        <v>37587461.91762116</v>
      </c>
      <c r="I9" s="32">
        <f>I6-I7-I8</f>
        <v>37587461.91762116</v>
      </c>
      <c r="Q9" s="2"/>
    </row>
    <row r="10" spans="2:9" ht="16.5" customHeight="1">
      <c r="B10" s="33" t="s">
        <v>25</v>
      </c>
      <c r="C10" s="19"/>
      <c r="D10" s="19"/>
      <c r="E10" s="19"/>
      <c r="F10" s="19"/>
      <c r="G10" s="19"/>
      <c r="H10" s="19"/>
      <c r="I10" s="1"/>
    </row>
    <row r="11" spans="2:15" ht="12.75">
      <c r="B11" s="4" t="s">
        <v>31</v>
      </c>
      <c r="C11" s="4"/>
      <c r="D11" s="4"/>
      <c r="E11" s="4"/>
      <c r="F11" s="4"/>
      <c r="G11" s="4"/>
      <c r="H11" s="10"/>
      <c r="I11" s="4"/>
      <c r="O11" s="3">
        <f>H21+H39+H54+H71+H86+H102+H120</f>
        <v>33614462.03096571</v>
      </c>
    </row>
    <row r="12" spans="2:9" ht="12.75">
      <c r="B12" s="4" t="s">
        <v>5</v>
      </c>
      <c r="C12" s="4" t="s">
        <v>22</v>
      </c>
      <c r="D12" s="4"/>
      <c r="E12" s="4"/>
      <c r="F12" s="4"/>
      <c r="G12" s="4"/>
      <c r="H12" s="9">
        <f>47250*12</f>
        <v>567000</v>
      </c>
      <c r="I12" s="9"/>
    </row>
    <row r="13" spans="2:9" ht="12.75" hidden="1">
      <c r="B13" s="4" t="s">
        <v>17</v>
      </c>
      <c r="C13" s="4"/>
      <c r="D13" s="4"/>
      <c r="E13" s="4"/>
      <c r="F13" s="4"/>
      <c r="G13" s="4"/>
      <c r="H13" s="9"/>
      <c r="I13" s="9">
        <f>1650000*7</f>
        <v>11550000</v>
      </c>
    </row>
    <row r="14" spans="2:9" ht="13.5" customHeight="1" hidden="1" outlineLevel="1">
      <c r="B14" s="4" t="s">
        <v>13</v>
      </c>
      <c r="C14" s="4" t="s">
        <v>14</v>
      </c>
      <c r="D14" s="4"/>
      <c r="E14" s="4"/>
      <c r="F14" s="4"/>
      <c r="G14" s="4"/>
      <c r="H14" s="9"/>
      <c r="I14" s="9"/>
    </row>
    <row r="15" spans="2:9" ht="12.75" outlineLevel="1">
      <c r="B15" s="4" t="s">
        <v>7</v>
      </c>
      <c r="C15" s="4"/>
      <c r="D15" s="4"/>
      <c r="E15" s="4"/>
      <c r="F15" s="4"/>
      <c r="G15" s="4"/>
      <c r="H15" s="9">
        <f>26520*12</f>
        <v>318240</v>
      </c>
      <c r="I15" s="9"/>
    </row>
    <row r="16" spans="2:9" ht="12.75" outlineLevel="1">
      <c r="B16" s="4" t="s">
        <v>8</v>
      </c>
      <c r="C16" s="4"/>
      <c r="D16" s="4"/>
      <c r="E16" s="4"/>
      <c r="F16" s="4"/>
      <c r="G16" s="4"/>
      <c r="H16" s="9">
        <f>(28200+3948+3666+112)*12</f>
        <v>431112</v>
      </c>
      <c r="I16" s="9"/>
    </row>
    <row r="17" spans="2:9" ht="12.75" outlineLevel="1">
      <c r="B17" s="4" t="s">
        <v>27</v>
      </c>
      <c r="C17" s="4"/>
      <c r="D17" s="4"/>
      <c r="E17" s="4"/>
      <c r="F17" s="4"/>
      <c r="G17" s="4"/>
      <c r="H17" s="9">
        <f>1800*12</f>
        <v>21600</v>
      </c>
      <c r="I17" s="9"/>
    </row>
    <row r="18" spans="2:9" ht="12.75" outlineLevel="1">
      <c r="B18" s="4" t="s">
        <v>9</v>
      </c>
      <c r="C18" s="4"/>
      <c r="D18" s="4"/>
      <c r="E18" s="4"/>
      <c r="F18" s="4"/>
      <c r="G18" s="4"/>
      <c r="H18" s="9">
        <f>(700+100+8000)*12</f>
        <v>105600</v>
      </c>
      <c r="I18" s="9"/>
    </row>
    <row r="19" spans="2:9" ht="12.75" outlineLevel="1">
      <c r="B19" s="4" t="s">
        <v>10</v>
      </c>
      <c r="C19" s="4"/>
      <c r="D19" s="4"/>
      <c r="E19" s="4"/>
      <c r="F19" s="4"/>
      <c r="G19" s="4"/>
      <c r="H19" s="9">
        <v>16000</v>
      </c>
      <c r="I19" s="9"/>
    </row>
    <row r="20" spans="2:9" ht="12" customHeight="1">
      <c r="B20" s="95"/>
      <c r="C20" s="96"/>
      <c r="D20" s="96"/>
      <c r="E20" s="96"/>
      <c r="F20" s="20"/>
      <c r="G20" s="20"/>
      <c r="H20" s="13">
        <f>SUM(H12:H19)</f>
        <v>1459552</v>
      </c>
      <c r="I20" s="13">
        <f>H20+H38+H53+H70+H85+H101+H119</f>
        <v>9836893.884887092</v>
      </c>
    </row>
    <row r="21" spans="2:14" ht="13.5" customHeight="1">
      <c r="B21" s="5" t="s">
        <v>12</v>
      </c>
      <c r="C21" s="5"/>
      <c r="D21" s="5"/>
      <c r="E21" s="5"/>
      <c r="F21" s="5"/>
      <c r="G21" s="5"/>
      <c r="H21" s="12">
        <f>H4-H20</f>
        <v>2372948</v>
      </c>
      <c r="I21" s="12">
        <f>I6-I13-I20</f>
        <v>50637239.9121316</v>
      </c>
      <c r="L21">
        <v>33</v>
      </c>
      <c r="M21">
        <v>5</v>
      </c>
      <c r="N21">
        <f>L21*M21/100</f>
        <v>1.65</v>
      </c>
    </row>
    <row r="22" spans="2:9" ht="12.75" hidden="1">
      <c r="B22" s="4"/>
      <c r="C22" s="4"/>
      <c r="D22" s="4"/>
      <c r="E22" s="4"/>
      <c r="F22" s="4"/>
      <c r="G22" s="4"/>
      <c r="H22" s="4"/>
      <c r="I22" s="4"/>
    </row>
    <row r="23" ht="12.75" hidden="1"/>
    <row r="24" ht="12.75" hidden="1"/>
    <row r="25" ht="15.75" customHeight="1">
      <c r="B25" s="33" t="s">
        <v>26</v>
      </c>
    </row>
    <row r="26" spans="2:9" ht="12.75">
      <c r="B26" s="4" t="s">
        <v>1</v>
      </c>
      <c r="C26" s="4"/>
      <c r="D26" s="4" t="s">
        <v>3</v>
      </c>
      <c r="E26" s="36" t="s">
        <v>34</v>
      </c>
      <c r="F26" s="4"/>
      <c r="G26" s="4"/>
      <c r="H26" s="4" t="s">
        <v>0</v>
      </c>
      <c r="I26" s="4"/>
    </row>
    <row r="27" spans="2:9" ht="15" customHeight="1">
      <c r="B27" s="4" t="s">
        <v>2</v>
      </c>
      <c r="C27" s="4"/>
      <c r="D27" s="7">
        <v>190</v>
      </c>
      <c r="E27" s="7">
        <v>70</v>
      </c>
      <c r="F27" s="4"/>
      <c r="G27" s="4"/>
      <c r="H27" s="25">
        <f>D27*E27*365</f>
        <v>4854500</v>
      </c>
      <c r="I27" s="9"/>
    </row>
    <row r="28" spans="2:9" ht="19.5" customHeight="1" hidden="1">
      <c r="B28" s="15"/>
      <c r="C28" s="16"/>
      <c r="D28" s="17">
        <v>230</v>
      </c>
      <c r="E28" s="17">
        <v>70</v>
      </c>
      <c r="F28" s="16"/>
      <c r="G28" s="16"/>
      <c r="H28" s="18">
        <f>D28*E28*365</f>
        <v>5876500</v>
      </c>
      <c r="I28" s="9"/>
    </row>
    <row r="29" spans="2:9" ht="12.75">
      <c r="B29" s="4" t="s">
        <v>31</v>
      </c>
      <c r="C29" s="4"/>
      <c r="D29" s="4"/>
      <c r="E29" s="4"/>
      <c r="F29" s="4"/>
      <c r="G29" s="4"/>
      <c r="H29" s="10"/>
      <c r="I29" s="4"/>
    </row>
    <row r="30" spans="2:9" ht="12.75" hidden="1">
      <c r="B30" s="4" t="s">
        <v>5</v>
      </c>
      <c r="C30" s="4" t="s">
        <v>6</v>
      </c>
      <c r="D30" s="4"/>
      <c r="E30" s="4"/>
      <c r="F30" s="4"/>
      <c r="G30" s="4"/>
      <c r="H30" s="9"/>
      <c r="I30" s="9">
        <f>H30*1</f>
        <v>0</v>
      </c>
    </row>
    <row r="31" spans="2:9" ht="12.75" hidden="1">
      <c r="B31" s="4" t="s">
        <v>15</v>
      </c>
      <c r="C31" s="4"/>
      <c r="D31" s="4"/>
      <c r="E31" s="4"/>
      <c r="F31" s="4"/>
      <c r="G31" s="4"/>
      <c r="H31" s="9"/>
      <c r="I31" s="9"/>
    </row>
    <row r="32" spans="2:9" ht="12.75">
      <c r="B32" s="4" t="s">
        <v>13</v>
      </c>
      <c r="C32" s="4" t="s">
        <v>14</v>
      </c>
      <c r="D32" s="4"/>
      <c r="E32" s="4"/>
      <c r="F32" s="4"/>
      <c r="G32" s="4"/>
      <c r="H32" s="9">
        <v>257000</v>
      </c>
      <c r="I32" s="9"/>
    </row>
    <row r="33" spans="2:9" ht="12.75">
      <c r="B33" s="4" t="s">
        <v>7</v>
      </c>
      <c r="C33" s="4"/>
      <c r="D33" s="4"/>
      <c r="E33" s="4"/>
      <c r="F33" s="4"/>
      <c r="G33" s="4"/>
      <c r="H33" s="9">
        <f>26520*12</f>
        <v>318240</v>
      </c>
      <c r="I33" s="9"/>
    </row>
    <row r="34" spans="2:9" ht="12.75">
      <c r="B34" s="4" t="s">
        <v>8</v>
      </c>
      <c r="C34" s="4"/>
      <c r="D34" s="4"/>
      <c r="E34" s="4"/>
      <c r="F34" s="4"/>
      <c r="G34" s="4"/>
      <c r="H34" s="9">
        <f>(28200+3948+3666+112)*12</f>
        <v>431112</v>
      </c>
      <c r="I34" s="9"/>
    </row>
    <row r="35" spans="2:9" ht="12.75">
      <c r="B35" s="4" t="s">
        <v>11</v>
      </c>
      <c r="C35" s="4"/>
      <c r="D35" s="4"/>
      <c r="E35" s="4"/>
      <c r="F35" s="4"/>
      <c r="G35" s="4"/>
      <c r="H35" s="9">
        <f>1800*12</f>
        <v>21600</v>
      </c>
      <c r="I35" s="9"/>
    </row>
    <row r="36" spans="2:9" ht="12.75">
      <c r="B36" s="4" t="s">
        <v>9</v>
      </c>
      <c r="C36" s="4"/>
      <c r="D36" s="4"/>
      <c r="E36" s="4"/>
      <c r="F36" s="4"/>
      <c r="G36" s="4"/>
      <c r="H36" s="9">
        <f>(700+100+8000)*12</f>
        <v>105600</v>
      </c>
      <c r="I36" s="9"/>
    </row>
    <row r="37" spans="2:9" ht="12.75">
      <c r="B37" s="4" t="s">
        <v>10</v>
      </c>
      <c r="C37" s="4"/>
      <c r="D37" s="4"/>
      <c r="E37" s="4"/>
      <c r="F37" s="4"/>
      <c r="G37" s="4"/>
      <c r="H37" s="9">
        <v>16000</v>
      </c>
      <c r="I37" s="9"/>
    </row>
    <row r="38" spans="2:14" ht="12.75" customHeight="1">
      <c r="B38" s="39" t="s">
        <v>51</v>
      </c>
      <c r="C38" s="5"/>
      <c r="D38" s="5"/>
      <c r="E38" s="5"/>
      <c r="F38" s="5"/>
      <c r="G38" s="5"/>
      <c r="H38" s="21">
        <f>SUM(H32:H37)</f>
        <v>1149552</v>
      </c>
      <c r="I38" s="21">
        <f>SUM(I32:I37)</f>
        <v>0</v>
      </c>
      <c r="L38">
        <v>33</v>
      </c>
      <c r="M38">
        <v>5</v>
      </c>
      <c r="N38">
        <f>L38*M38/100</f>
        <v>1.65</v>
      </c>
    </row>
    <row r="39" spans="2:14" ht="14.25" customHeight="1">
      <c r="B39" s="5" t="s">
        <v>12</v>
      </c>
      <c r="C39" s="4"/>
      <c r="D39" s="4"/>
      <c r="E39" s="4"/>
      <c r="F39" s="4"/>
      <c r="G39" s="4"/>
      <c r="H39" s="23">
        <f>H27-H38</f>
        <v>3704948</v>
      </c>
      <c r="I39" s="12"/>
      <c r="L39">
        <v>31</v>
      </c>
      <c r="N39">
        <f>L39*M38%</f>
        <v>1.55</v>
      </c>
    </row>
    <row r="40" ht="12.75" hidden="1"/>
    <row r="41" ht="12.75" hidden="1"/>
    <row r="42" ht="12.75" hidden="1"/>
    <row r="43" spans="1:9" ht="12.75">
      <c r="A43" s="102" t="s">
        <v>37</v>
      </c>
      <c r="B43" s="4" t="s">
        <v>1</v>
      </c>
      <c r="C43" s="4"/>
      <c r="D43" s="4" t="s">
        <v>3</v>
      </c>
      <c r="E43" s="36" t="s">
        <v>34</v>
      </c>
      <c r="F43" s="4"/>
      <c r="G43" s="4"/>
      <c r="H43" s="4" t="s">
        <v>0</v>
      </c>
      <c r="I43" s="4"/>
    </row>
    <row r="44" spans="1:9" ht="15.75" customHeight="1">
      <c r="A44" s="102"/>
      <c r="B44" s="4" t="s">
        <v>2</v>
      </c>
      <c r="C44" s="4"/>
      <c r="D44" s="7">
        <v>200</v>
      </c>
      <c r="E44" s="7">
        <f>E27*1.08</f>
        <v>75.60000000000001</v>
      </c>
      <c r="F44" s="4"/>
      <c r="G44" s="4"/>
      <c r="H44" s="25">
        <f>D44*E44*365</f>
        <v>5518800.000000001</v>
      </c>
      <c r="I44" s="11"/>
    </row>
    <row r="45" spans="1:9" ht="12.75" customHeight="1" hidden="1">
      <c r="A45" s="102"/>
      <c r="B45" s="4" t="s">
        <v>4</v>
      </c>
      <c r="C45" s="4"/>
      <c r="D45" s="4"/>
      <c r="E45" s="4"/>
      <c r="F45" s="4"/>
      <c r="G45" s="4"/>
      <c r="H45" s="10"/>
      <c r="I45" s="22"/>
    </row>
    <row r="46" spans="1:9" ht="12.75" customHeight="1" hidden="1">
      <c r="A46" s="102"/>
      <c r="B46" s="4" t="s">
        <v>19</v>
      </c>
      <c r="C46" s="4" t="s">
        <v>6</v>
      </c>
      <c r="D46" s="4"/>
      <c r="E46" s="4"/>
      <c r="F46" s="4"/>
      <c r="G46" s="4"/>
      <c r="H46" s="9"/>
      <c r="I46" s="9"/>
    </row>
    <row r="47" spans="1:9" ht="12.75" customHeight="1" hidden="1">
      <c r="A47" s="102"/>
      <c r="B47" s="4" t="s">
        <v>13</v>
      </c>
      <c r="C47" s="4" t="s">
        <v>14</v>
      </c>
      <c r="D47" s="4"/>
      <c r="E47" s="4"/>
      <c r="F47" s="4"/>
      <c r="G47" s="4"/>
      <c r="H47" s="9">
        <f>H32</f>
        <v>257000</v>
      </c>
      <c r="I47" s="9">
        <f aca="true" t="shared" si="0" ref="I47:I52">I32*1.1</f>
        <v>0</v>
      </c>
    </row>
    <row r="48" spans="1:9" ht="12.75" customHeight="1" hidden="1">
      <c r="A48" s="102"/>
      <c r="B48" s="4" t="s">
        <v>7</v>
      </c>
      <c r="C48" s="4"/>
      <c r="D48" s="4"/>
      <c r="E48" s="4"/>
      <c r="F48" s="4"/>
      <c r="G48" s="4"/>
      <c r="H48" s="9">
        <f>H33*1.08</f>
        <v>343699.2</v>
      </c>
      <c r="I48" s="9">
        <f t="shared" si="0"/>
        <v>0</v>
      </c>
    </row>
    <row r="49" spans="1:9" ht="12.75" customHeight="1" hidden="1">
      <c r="A49" s="102"/>
      <c r="B49" s="4" t="s">
        <v>8</v>
      </c>
      <c r="C49" s="4"/>
      <c r="D49" s="4"/>
      <c r="E49" s="4"/>
      <c r="F49" s="4"/>
      <c r="G49" s="4"/>
      <c r="H49" s="9">
        <f>H34*1.08</f>
        <v>465600.96</v>
      </c>
      <c r="I49" s="9">
        <f t="shared" si="0"/>
        <v>0</v>
      </c>
    </row>
    <row r="50" spans="1:9" ht="12.75" customHeight="1" hidden="1">
      <c r="A50" s="102"/>
      <c r="B50" s="4" t="s">
        <v>11</v>
      </c>
      <c r="C50" s="4"/>
      <c r="D50" s="4"/>
      <c r="E50" s="4"/>
      <c r="F50" s="4"/>
      <c r="G50" s="4"/>
      <c r="H50" s="9">
        <v>27000</v>
      </c>
      <c r="I50" s="9">
        <f t="shared" si="0"/>
        <v>0</v>
      </c>
    </row>
    <row r="51" spans="1:9" ht="12.75" customHeight="1" hidden="1">
      <c r="A51" s="102"/>
      <c r="B51" s="4" t="s">
        <v>9</v>
      </c>
      <c r="C51" s="4"/>
      <c r="D51" s="4"/>
      <c r="E51" s="4"/>
      <c r="F51" s="4"/>
      <c r="G51" s="4"/>
      <c r="H51" s="9">
        <f>H36*1.08</f>
        <v>114048.00000000001</v>
      </c>
      <c r="I51" s="9">
        <f t="shared" si="0"/>
        <v>0</v>
      </c>
    </row>
    <row r="52" spans="1:9" ht="12.75" customHeight="1" hidden="1">
      <c r="A52" s="102"/>
      <c r="B52" s="4" t="s">
        <v>10</v>
      </c>
      <c r="C52" s="4"/>
      <c r="D52" s="4"/>
      <c r="E52" s="4"/>
      <c r="F52" s="4"/>
      <c r="G52" s="4"/>
      <c r="H52" s="11">
        <v>20000</v>
      </c>
      <c r="I52" s="11">
        <f t="shared" si="0"/>
        <v>0</v>
      </c>
    </row>
    <row r="53" spans="1:9" ht="12.75">
      <c r="A53" s="102"/>
      <c r="B53" s="4" t="s">
        <v>4</v>
      </c>
      <c r="C53" s="4"/>
      <c r="D53" s="4"/>
      <c r="E53" s="4"/>
      <c r="F53" s="4"/>
      <c r="G53" s="4"/>
      <c r="H53" s="40">
        <f>SUM(H47:H52)</f>
        <v>1227348.16</v>
      </c>
      <c r="I53" s="4">
        <f>SUM(I47:I52)</f>
        <v>0</v>
      </c>
    </row>
    <row r="54" spans="2:14" ht="15.75" customHeight="1">
      <c r="B54" s="5" t="s">
        <v>12</v>
      </c>
      <c r="C54" s="5"/>
      <c r="D54" s="5"/>
      <c r="E54" s="5"/>
      <c r="F54" s="5"/>
      <c r="G54" s="5"/>
      <c r="H54" s="23">
        <f>H44-H46-H53</f>
        <v>4291451.840000001</v>
      </c>
      <c r="I54" s="23"/>
      <c r="L54">
        <f>30.2-4.5</f>
        <v>25.7</v>
      </c>
      <c r="M54">
        <v>5</v>
      </c>
      <c r="N54">
        <f>L54*M54/100</f>
        <v>1.285</v>
      </c>
    </row>
    <row r="55" spans="2:14" ht="12.75" hidden="1">
      <c r="B55" s="4"/>
      <c r="C55" s="4"/>
      <c r="D55" s="4"/>
      <c r="E55" s="4"/>
      <c r="F55" s="4"/>
      <c r="G55" s="4"/>
      <c r="H55" s="4"/>
      <c r="I55" s="4"/>
      <c r="N55">
        <f>L55*M54%</f>
        <v>0</v>
      </c>
    </row>
    <row r="56" ht="12.75" hidden="1"/>
    <row r="57" ht="12.75" hidden="1"/>
    <row r="58" spans="1:9" ht="12.75">
      <c r="A58" s="102" t="s">
        <v>45</v>
      </c>
      <c r="B58" s="4" t="s">
        <v>1</v>
      </c>
      <c r="C58" s="4"/>
      <c r="D58" s="4" t="s">
        <v>3</v>
      </c>
      <c r="E58" s="36" t="s">
        <v>34</v>
      </c>
      <c r="F58" s="4"/>
      <c r="G58" s="4"/>
      <c r="H58" s="4" t="s">
        <v>0</v>
      </c>
      <c r="I58" s="4" t="s">
        <v>18</v>
      </c>
    </row>
    <row r="59" spans="1:9" ht="15.75">
      <c r="A59" s="102"/>
      <c r="B59" s="4" t="s">
        <v>2</v>
      </c>
      <c r="C59" s="4"/>
      <c r="D59" s="7">
        <v>210</v>
      </c>
      <c r="E59" s="30">
        <f>E44*1.08</f>
        <v>81.64800000000001</v>
      </c>
      <c r="F59" s="4"/>
      <c r="G59" s="4"/>
      <c r="H59" s="25">
        <f>D59*E59*365</f>
        <v>6258319.2</v>
      </c>
      <c r="I59" s="9"/>
    </row>
    <row r="60" spans="1:9" ht="12.75" customHeight="1" hidden="1">
      <c r="A60" s="102"/>
      <c r="B60" s="4" t="s">
        <v>19</v>
      </c>
      <c r="C60" s="4"/>
      <c r="D60" s="4"/>
      <c r="E60" s="4"/>
      <c r="F60" s="4"/>
      <c r="G60" s="4"/>
      <c r="H60" s="10"/>
      <c r="I60" s="4"/>
    </row>
    <row r="61" spans="1:9" ht="12.75" customHeight="1" hidden="1">
      <c r="A61" s="102"/>
      <c r="B61" s="4" t="s">
        <v>5</v>
      </c>
      <c r="C61" s="4" t="s">
        <v>6</v>
      </c>
      <c r="D61" s="4"/>
      <c r="E61" s="4"/>
      <c r="F61" s="4"/>
      <c r="G61" s="4"/>
      <c r="H61" s="9"/>
      <c r="I61" s="9">
        <f>H61*1</f>
        <v>0</v>
      </c>
    </row>
    <row r="62" spans="1:9" ht="12.75" customHeight="1" hidden="1">
      <c r="A62" s="102"/>
      <c r="B62" s="4" t="s">
        <v>15</v>
      </c>
      <c r="C62" s="4"/>
      <c r="D62" s="4"/>
      <c r="E62" s="4"/>
      <c r="F62" s="4"/>
      <c r="G62" s="4"/>
      <c r="H62" s="9"/>
      <c r="I62" s="9">
        <f>H62</f>
        <v>0</v>
      </c>
    </row>
    <row r="63" spans="1:9" ht="12.75" customHeight="1" hidden="1">
      <c r="A63" s="102"/>
      <c r="B63" s="4" t="s">
        <v>17</v>
      </c>
      <c r="C63" s="4"/>
      <c r="D63" s="4"/>
      <c r="E63" s="4"/>
      <c r="F63" s="4"/>
      <c r="G63" s="4"/>
      <c r="H63" s="9"/>
      <c r="I63" s="9"/>
    </row>
    <row r="64" spans="1:9" ht="12.75" customHeight="1" hidden="1">
      <c r="A64" s="102"/>
      <c r="B64" s="4" t="s">
        <v>13</v>
      </c>
      <c r="C64" s="4" t="s">
        <v>14</v>
      </c>
      <c r="D64" s="4"/>
      <c r="E64" s="4"/>
      <c r="F64" s="4"/>
      <c r="G64" s="4"/>
      <c r="H64" s="9"/>
      <c r="I64" s="9"/>
    </row>
    <row r="65" spans="1:9" ht="12.75" customHeight="1" hidden="1">
      <c r="A65" s="102"/>
      <c r="B65" s="4" t="s">
        <v>7</v>
      </c>
      <c r="C65" s="4"/>
      <c r="D65" s="4"/>
      <c r="E65" s="4"/>
      <c r="F65" s="4"/>
      <c r="G65" s="4"/>
      <c r="H65" s="9"/>
      <c r="I65" s="9"/>
    </row>
    <row r="66" spans="1:9" ht="12.75" customHeight="1" hidden="1">
      <c r="A66" s="102"/>
      <c r="B66" s="4" t="s">
        <v>8</v>
      </c>
      <c r="C66" s="4"/>
      <c r="D66" s="4"/>
      <c r="E66" s="4"/>
      <c r="F66" s="4"/>
      <c r="G66" s="4"/>
      <c r="H66" s="9"/>
      <c r="I66" s="9"/>
    </row>
    <row r="67" spans="1:9" ht="12.75" customHeight="1" hidden="1">
      <c r="A67" s="102"/>
      <c r="B67" s="4" t="s">
        <v>11</v>
      </c>
      <c r="C67" s="4"/>
      <c r="D67" s="4"/>
      <c r="E67" s="4"/>
      <c r="F67" s="4"/>
      <c r="G67" s="4"/>
      <c r="H67" s="9"/>
      <c r="I67" s="9"/>
    </row>
    <row r="68" spans="1:9" ht="12.75" customHeight="1" hidden="1">
      <c r="A68" s="102"/>
      <c r="B68" s="4" t="s">
        <v>9</v>
      </c>
      <c r="C68" s="4"/>
      <c r="D68" s="4"/>
      <c r="E68" s="4"/>
      <c r="F68" s="4"/>
      <c r="G68" s="4"/>
      <c r="H68" s="9"/>
      <c r="I68" s="9"/>
    </row>
    <row r="69" spans="1:9" ht="12.75" customHeight="1" hidden="1">
      <c r="A69" s="102"/>
      <c r="B69" s="4" t="s">
        <v>10</v>
      </c>
      <c r="C69" s="4"/>
      <c r="D69" s="4"/>
      <c r="E69" s="4"/>
      <c r="F69" s="4"/>
      <c r="G69" s="4"/>
      <c r="H69" s="9"/>
      <c r="I69" s="9"/>
    </row>
    <row r="70" spans="1:9" ht="12.75">
      <c r="A70" s="102"/>
      <c r="B70" s="4" t="s">
        <v>20</v>
      </c>
      <c r="C70" s="4"/>
      <c r="D70" s="4"/>
      <c r="E70" s="4"/>
      <c r="F70" s="4"/>
      <c r="G70" s="4"/>
      <c r="H70" s="40">
        <f>H53*1.08</f>
        <v>1325536.0128</v>
      </c>
      <c r="I70" s="4">
        <f>I53*1.1</f>
        <v>0</v>
      </c>
    </row>
    <row r="71" spans="2:14" ht="15" customHeight="1">
      <c r="B71" s="5" t="s">
        <v>12</v>
      </c>
      <c r="C71" s="5"/>
      <c r="D71" s="5"/>
      <c r="E71" s="5"/>
      <c r="F71" s="5"/>
      <c r="G71" s="5"/>
      <c r="H71" s="14">
        <f>H59-H70-H60</f>
        <v>4932783.1872000005</v>
      </c>
      <c r="I71" s="14"/>
      <c r="L71">
        <f>L54-6.8</f>
        <v>18.9</v>
      </c>
      <c r="M71">
        <v>5</v>
      </c>
      <c r="N71">
        <f>L71*5%</f>
        <v>0.945</v>
      </c>
    </row>
    <row r="72" spans="2:9" ht="12.75" hidden="1">
      <c r="B72" s="4"/>
      <c r="C72" s="4"/>
      <c r="D72" s="4"/>
      <c r="E72" s="4"/>
      <c r="F72" s="4"/>
      <c r="G72" s="4"/>
      <c r="H72" s="4"/>
      <c r="I72" s="4"/>
    </row>
    <row r="73" spans="1:9" ht="12.75">
      <c r="A73" s="102" t="s">
        <v>46</v>
      </c>
      <c r="B73" s="4" t="s">
        <v>1</v>
      </c>
      <c r="C73" s="4"/>
      <c r="D73" s="4" t="s">
        <v>3</v>
      </c>
      <c r="E73" s="36" t="s">
        <v>34</v>
      </c>
      <c r="F73" s="4"/>
      <c r="G73" s="4"/>
      <c r="H73" s="4" t="s">
        <v>0</v>
      </c>
      <c r="I73" s="4"/>
    </row>
    <row r="74" spans="1:9" ht="15.75">
      <c r="A74" s="102"/>
      <c r="B74" s="4" t="s">
        <v>2</v>
      </c>
      <c r="C74" s="4"/>
      <c r="D74" s="7">
        <v>220</v>
      </c>
      <c r="E74" s="30">
        <f>E59*1.08</f>
        <v>88.17984000000001</v>
      </c>
      <c r="F74" s="4"/>
      <c r="G74" s="4"/>
      <c r="H74" s="25">
        <f>D74*E74*365</f>
        <v>7080841.152000002</v>
      </c>
      <c r="I74" s="9"/>
    </row>
    <row r="75" spans="1:9" ht="12.75" customHeight="1" hidden="1">
      <c r="A75" s="102"/>
      <c r="B75" s="4" t="s">
        <v>19</v>
      </c>
      <c r="C75" s="4"/>
      <c r="D75" s="4"/>
      <c r="E75" s="4"/>
      <c r="F75" s="4"/>
      <c r="G75" s="4"/>
      <c r="H75" s="10"/>
      <c r="I75" s="4"/>
    </row>
    <row r="76" spans="1:9" ht="12.75" customHeight="1" hidden="1">
      <c r="A76" s="102"/>
      <c r="B76" s="4" t="s">
        <v>5</v>
      </c>
      <c r="C76" s="4" t="s">
        <v>6</v>
      </c>
      <c r="D76" s="4"/>
      <c r="E76" s="4"/>
      <c r="F76" s="4"/>
      <c r="G76" s="4"/>
      <c r="H76" s="9"/>
      <c r="I76" s="9">
        <f>H76*1</f>
        <v>0</v>
      </c>
    </row>
    <row r="77" spans="1:9" ht="12.75" customHeight="1" hidden="1">
      <c r="A77" s="102"/>
      <c r="B77" s="4" t="s">
        <v>15</v>
      </c>
      <c r="C77" s="4"/>
      <c r="D77" s="4"/>
      <c r="E77" s="4"/>
      <c r="F77" s="4"/>
      <c r="G77" s="4"/>
      <c r="H77" s="9"/>
      <c r="I77" s="9">
        <f>H77</f>
        <v>0</v>
      </c>
    </row>
    <row r="78" spans="1:9" ht="12.75" customHeight="1" hidden="1">
      <c r="A78" s="102"/>
      <c r="B78" s="4" t="s">
        <v>17</v>
      </c>
      <c r="C78" s="4"/>
      <c r="D78" s="4"/>
      <c r="E78" s="4"/>
      <c r="F78" s="4"/>
      <c r="G78" s="4"/>
      <c r="H78" s="9"/>
      <c r="I78" s="9"/>
    </row>
    <row r="79" spans="1:9" ht="12.75" customHeight="1" hidden="1">
      <c r="A79" s="102"/>
      <c r="B79" s="4" t="s">
        <v>13</v>
      </c>
      <c r="C79" s="4" t="s">
        <v>14</v>
      </c>
      <c r="D79" s="4"/>
      <c r="E79" s="4"/>
      <c r="F79" s="4"/>
      <c r="G79" s="4"/>
      <c r="H79" s="9"/>
      <c r="I79" s="9"/>
    </row>
    <row r="80" spans="1:9" ht="12.75" customHeight="1" hidden="1">
      <c r="A80" s="102"/>
      <c r="B80" s="4" t="s">
        <v>7</v>
      </c>
      <c r="C80" s="4"/>
      <c r="D80" s="4"/>
      <c r="E80" s="4"/>
      <c r="F80" s="4"/>
      <c r="G80" s="4"/>
      <c r="H80" s="9"/>
      <c r="I80" s="9"/>
    </row>
    <row r="81" spans="1:9" ht="12.75" customHeight="1" hidden="1">
      <c r="A81" s="102"/>
      <c r="B81" s="4" t="s">
        <v>8</v>
      </c>
      <c r="C81" s="4"/>
      <c r="D81" s="4"/>
      <c r="E81" s="4"/>
      <c r="F81" s="4"/>
      <c r="G81" s="4"/>
      <c r="H81" s="9"/>
      <c r="I81" s="9"/>
    </row>
    <row r="82" spans="1:9" ht="12.75" customHeight="1" hidden="1">
      <c r="A82" s="102"/>
      <c r="B82" s="4" t="s">
        <v>11</v>
      </c>
      <c r="C82" s="4"/>
      <c r="D82" s="4"/>
      <c r="E82" s="4"/>
      <c r="F82" s="4"/>
      <c r="G82" s="4"/>
      <c r="H82" s="9"/>
      <c r="I82" s="9"/>
    </row>
    <row r="83" spans="1:9" ht="12.75" customHeight="1" hidden="1">
      <c r="A83" s="102"/>
      <c r="B83" s="4" t="s">
        <v>9</v>
      </c>
      <c r="C83" s="4"/>
      <c r="D83" s="4"/>
      <c r="E83" s="4"/>
      <c r="F83" s="4"/>
      <c r="G83" s="4"/>
      <c r="H83" s="9"/>
      <c r="I83" s="9"/>
    </row>
    <row r="84" spans="1:9" ht="12.75" customHeight="1" hidden="1">
      <c r="A84" s="102"/>
      <c r="B84" s="4" t="s">
        <v>10</v>
      </c>
      <c r="C84" s="4"/>
      <c r="D84" s="4"/>
      <c r="E84" s="4"/>
      <c r="F84" s="4"/>
      <c r="G84" s="4"/>
      <c r="H84" s="9"/>
      <c r="I84" s="9"/>
    </row>
    <row r="85" spans="1:9" ht="12.75">
      <c r="A85" s="102"/>
      <c r="B85" s="4" t="s">
        <v>20</v>
      </c>
      <c r="C85" s="4"/>
      <c r="D85" s="4"/>
      <c r="E85" s="4"/>
      <c r="F85" s="4"/>
      <c r="G85" s="4"/>
      <c r="H85" s="40">
        <f>H70*1.09</f>
        <v>1444834.253952</v>
      </c>
      <c r="I85" s="4">
        <f>I69*1.1</f>
        <v>0</v>
      </c>
    </row>
    <row r="86" spans="2:14" ht="15.75">
      <c r="B86" s="5" t="s">
        <v>12</v>
      </c>
      <c r="C86" s="5"/>
      <c r="D86" s="5"/>
      <c r="E86" s="5"/>
      <c r="F86" s="5"/>
      <c r="G86" s="5"/>
      <c r="H86" s="14">
        <f>H74-H75-H85</f>
        <v>5636006.898048001</v>
      </c>
      <c r="I86" s="14"/>
      <c r="L86">
        <f>L70-6.8</f>
        <v>-6.8</v>
      </c>
      <c r="M86">
        <v>5</v>
      </c>
      <c r="N86">
        <f>L86*5%</f>
        <v>-0.34</v>
      </c>
    </row>
    <row r="87" spans="2:9" ht="12.75" hidden="1">
      <c r="B87" s="4"/>
      <c r="C87" s="4"/>
      <c r="D87" s="4"/>
      <c r="E87" s="4"/>
      <c r="F87" s="4"/>
      <c r="G87" s="4"/>
      <c r="H87" s="4"/>
      <c r="I87" s="4"/>
    </row>
    <row r="88" ht="15.75" customHeight="1" hidden="1"/>
    <row r="89" spans="1:9" ht="12.75">
      <c r="A89" s="102" t="s">
        <v>47</v>
      </c>
      <c r="B89" s="4"/>
      <c r="C89" s="4"/>
      <c r="D89" s="4" t="s">
        <v>3</v>
      </c>
      <c r="E89" s="36" t="s">
        <v>34</v>
      </c>
      <c r="F89" s="4"/>
      <c r="G89" s="4"/>
      <c r="H89" s="4" t="s">
        <v>0</v>
      </c>
      <c r="I89" s="4"/>
    </row>
    <row r="90" spans="1:9" ht="15.75">
      <c r="A90" s="102"/>
      <c r="B90" s="4" t="s">
        <v>1</v>
      </c>
      <c r="C90" s="4"/>
      <c r="D90" s="7">
        <v>220</v>
      </c>
      <c r="E90" s="30">
        <f>E74*1.08</f>
        <v>95.23422720000002</v>
      </c>
      <c r="F90" s="4"/>
      <c r="G90" s="4"/>
      <c r="H90" s="25">
        <f>D90*E90*365</f>
        <v>7647308.444160001</v>
      </c>
      <c r="I90" s="9"/>
    </row>
    <row r="91" spans="1:9" ht="14.25" customHeight="1" hidden="1">
      <c r="A91" s="102"/>
      <c r="B91" s="97"/>
      <c r="C91" s="98"/>
      <c r="D91" s="98"/>
      <c r="E91" s="98"/>
      <c r="F91" s="98"/>
      <c r="G91" s="98"/>
      <c r="H91" s="101"/>
      <c r="I91" s="12">
        <f>SUM(I90:I90)</f>
        <v>0</v>
      </c>
    </row>
    <row r="92" spans="1:9" ht="12.75" customHeight="1" hidden="1">
      <c r="A92" s="102"/>
      <c r="B92" s="4" t="s">
        <v>19</v>
      </c>
      <c r="C92" s="4"/>
      <c r="D92" s="4"/>
      <c r="E92" s="4"/>
      <c r="F92" s="4"/>
      <c r="G92" s="4"/>
      <c r="H92" s="10"/>
      <c r="I92" s="4"/>
    </row>
    <row r="93" spans="1:9" ht="12.75" customHeight="1" hidden="1">
      <c r="A93" s="102"/>
      <c r="B93" s="4" t="s">
        <v>5</v>
      </c>
      <c r="C93" s="4" t="s">
        <v>6</v>
      </c>
      <c r="D93" s="4"/>
      <c r="E93" s="4"/>
      <c r="F93" s="4"/>
      <c r="G93" s="4"/>
      <c r="H93" s="9"/>
      <c r="I93" s="9">
        <f>H93*1</f>
        <v>0</v>
      </c>
    </row>
    <row r="94" spans="1:9" ht="12.75" customHeight="1" hidden="1">
      <c r="A94" s="102"/>
      <c r="B94" s="4" t="s">
        <v>15</v>
      </c>
      <c r="C94" s="4"/>
      <c r="D94" s="4"/>
      <c r="E94" s="4"/>
      <c r="F94" s="4"/>
      <c r="G94" s="4"/>
      <c r="H94" s="9"/>
      <c r="I94" s="9">
        <f>H94</f>
        <v>0</v>
      </c>
    </row>
    <row r="95" spans="1:9" ht="12.75" customHeight="1" hidden="1">
      <c r="A95" s="102"/>
      <c r="B95" s="4" t="s">
        <v>17</v>
      </c>
      <c r="C95" s="4"/>
      <c r="D95" s="4"/>
      <c r="E95" s="4"/>
      <c r="F95" s="4"/>
      <c r="G95" s="4"/>
      <c r="H95" s="9"/>
      <c r="I95" s="9"/>
    </row>
    <row r="96" spans="1:9" ht="12.75" customHeight="1" hidden="1">
      <c r="A96" s="102"/>
      <c r="B96" s="4" t="s">
        <v>13</v>
      </c>
      <c r="C96" s="4" t="s">
        <v>14</v>
      </c>
      <c r="D96" s="4"/>
      <c r="E96" s="4"/>
      <c r="F96" s="4"/>
      <c r="G96" s="4"/>
      <c r="H96" s="9"/>
      <c r="I96" s="9"/>
    </row>
    <row r="97" spans="1:9" ht="12.75" customHeight="1" hidden="1">
      <c r="A97" s="102"/>
      <c r="B97" s="4" t="s">
        <v>7</v>
      </c>
      <c r="C97" s="4"/>
      <c r="D97" s="4"/>
      <c r="E97" s="4"/>
      <c r="F97" s="4"/>
      <c r="G97" s="4"/>
      <c r="H97" s="9"/>
      <c r="I97" s="9"/>
    </row>
    <row r="98" spans="1:9" ht="12.75" customHeight="1" hidden="1">
      <c r="A98" s="102"/>
      <c r="B98" s="4" t="s">
        <v>8</v>
      </c>
      <c r="C98" s="4"/>
      <c r="D98" s="4"/>
      <c r="E98" s="4"/>
      <c r="F98" s="4"/>
      <c r="G98" s="4"/>
      <c r="H98" s="9"/>
      <c r="I98" s="9"/>
    </row>
    <row r="99" spans="1:9" ht="12.75" customHeight="1" hidden="1">
      <c r="A99" s="102"/>
      <c r="B99" s="4" t="s">
        <v>11</v>
      </c>
      <c r="C99" s="4"/>
      <c r="D99" s="4"/>
      <c r="E99" s="4"/>
      <c r="F99" s="4"/>
      <c r="G99" s="4"/>
      <c r="H99" s="9"/>
      <c r="I99" s="9"/>
    </row>
    <row r="100" spans="1:9" ht="12.75" customHeight="1" hidden="1">
      <c r="A100" s="102"/>
      <c r="B100" s="4" t="s">
        <v>9</v>
      </c>
      <c r="C100" s="4"/>
      <c r="D100" s="4"/>
      <c r="E100" s="4"/>
      <c r="F100" s="4"/>
      <c r="G100" s="4"/>
      <c r="H100" s="9"/>
      <c r="I100" s="9"/>
    </row>
    <row r="101" spans="1:9" ht="12.75">
      <c r="A101" s="102"/>
      <c r="B101" s="4" t="s">
        <v>20</v>
      </c>
      <c r="C101" s="4"/>
      <c r="D101" s="4"/>
      <c r="E101" s="4"/>
      <c r="F101" s="4"/>
      <c r="G101" s="4"/>
      <c r="H101" s="40">
        <f>H85*1.08</f>
        <v>1560420.99426816</v>
      </c>
      <c r="I101" s="4">
        <f>I83*1.1</f>
        <v>0</v>
      </c>
    </row>
    <row r="102" spans="2:14" ht="15.75">
      <c r="B102" s="5" t="s">
        <v>12</v>
      </c>
      <c r="C102" s="5"/>
      <c r="D102" s="5"/>
      <c r="E102" s="5"/>
      <c r="F102" s="5"/>
      <c r="G102" s="5"/>
      <c r="H102" s="14">
        <f>H90-H14-H92-H101-6</f>
        <v>6086881.449891841</v>
      </c>
      <c r="I102" s="14"/>
      <c r="L102">
        <f>L84-6.8</f>
        <v>-6.8</v>
      </c>
      <c r="M102">
        <v>5</v>
      </c>
      <c r="N102">
        <f>L102*5%</f>
        <v>-0.34</v>
      </c>
    </row>
    <row r="103" spans="2:9" ht="12.75" hidden="1">
      <c r="B103" s="4"/>
      <c r="C103" s="4"/>
      <c r="D103" s="4"/>
      <c r="E103" s="4"/>
      <c r="F103" s="4"/>
      <c r="G103" s="4"/>
      <c r="H103" s="4"/>
      <c r="I103" s="4"/>
    </row>
    <row r="104" ht="12.75" hidden="1"/>
    <row r="105" ht="12.75" hidden="1"/>
    <row r="106" spans="1:9" ht="12.75">
      <c r="A106" s="102" t="s">
        <v>48</v>
      </c>
      <c r="B106" s="4"/>
      <c r="C106" s="4"/>
      <c r="D106" s="4" t="s">
        <v>3</v>
      </c>
      <c r="E106" s="36" t="s">
        <v>34</v>
      </c>
      <c r="F106" s="4"/>
      <c r="G106" s="4"/>
      <c r="H106" s="4" t="s">
        <v>0</v>
      </c>
      <c r="I106" s="4"/>
    </row>
    <row r="107" spans="1:9" ht="14.25" customHeight="1">
      <c r="A107" s="102"/>
      <c r="B107" s="4" t="s">
        <v>1</v>
      </c>
      <c r="C107" s="4"/>
      <c r="D107" s="7">
        <v>220</v>
      </c>
      <c r="E107" s="30">
        <f>E90*1.08</f>
        <v>102.85296537600003</v>
      </c>
      <c r="F107" s="4"/>
      <c r="G107" s="4"/>
      <c r="H107" s="25">
        <f>D107*E107*365</f>
        <v>8259093.119692802</v>
      </c>
      <c r="I107" s="9"/>
    </row>
    <row r="108" spans="1:9" ht="14.25" customHeight="1" hidden="1">
      <c r="A108" s="102"/>
      <c r="B108" s="97" t="s">
        <v>16</v>
      </c>
      <c r="C108" s="98"/>
      <c r="D108" s="98"/>
      <c r="E108" s="98"/>
      <c r="F108" s="98"/>
      <c r="G108" s="98"/>
      <c r="H108" s="101"/>
      <c r="I108" s="12"/>
    </row>
    <row r="109" spans="1:9" ht="12.75" customHeight="1" hidden="1">
      <c r="A109" s="102"/>
      <c r="B109" s="4" t="s">
        <v>19</v>
      </c>
      <c r="C109" s="4"/>
      <c r="D109" s="4"/>
      <c r="E109" s="4"/>
      <c r="F109" s="4"/>
      <c r="G109" s="4"/>
      <c r="H109" s="10">
        <v>1650000</v>
      </c>
      <c r="I109" s="4"/>
    </row>
    <row r="110" spans="1:9" ht="12.75" customHeight="1" hidden="1">
      <c r="A110" s="102"/>
      <c r="B110" s="4" t="s">
        <v>5</v>
      </c>
      <c r="C110" s="4" t="s">
        <v>6</v>
      </c>
      <c r="D110" s="4"/>
      <c r="E110" s="4"/>
      <c r="F110" s="4"/>
      <c r="G110" s="4"/>
      <c r="H110" s="9"/>
      <c r="I110" s="9">
        <f>H110*1</f>
        <v>0</v>
      </c>
    </row>
    <row r="111" spans="1:9" ht="12.75" customHeight="1" hidden="1">
      <c r="A111" s="102"/>
      <c r="B111" s="4" t="s">
        <v>15</v>
      </c>
      <c r="C111" s="4"/>
      <c r="D111" s="4"/>
      <c r="E111" s="4"/>
      <c r="F111" s="4"/>
      <c r="G111" s="4"/>
      <c r="H111" s="9"/>
      <c r="I111" s="9">
        <f>H111</f>
        <v>0</v>
      </c>
    </row>
    <row r="112" spans="1:9" ht="12.75" customHeight="1" hidden="1">
      <c r="A112" s="102"/>
      <c r="B112" s="4" t="s">
        <v>17</v>
      </c>
      <c r="C112" s="4"/>
      <c r="D112" s="4"/>
      <c r="E112" s="4"/>
      <c r="F112" s="4"/>
      <c r="G112" s="4"/>
      <c r="H112" s="9"/>
      <c r="I112" s="9"/>
    </row>
    <row r="113" spans="1:9" ht="12.75" customHeight="1" hidden="1">
      <c r="A113" s="102"/>
      <c r="B113" s="4" t="s">
        <v>13</v>
      </c>
      <c r="C113" s="4" t="s">
        <v>14</v>
      </c>
      <c r="D113" s="4"/>
      <c r="E113" s="4"/>
      <c r="F113" s="4"/>
      <c r="G113" s="4"/>
      <c r="H113" s="9"/>
      <c r="I113" s="9"/>
    </row>
    <row r="114" spans="1:9" ht="12.75" customHeight="1" hidden="1">
      <c r="A114" s="102"/>
      <c r="B114" s="4" t="s">
        <v>7</v>
      </c>
      <c r="C114" s="4"/>
      <c r="D114" s="4"/>
      <c r="E114" s="4"/>
      <c r="F114" s="4"/>
      <c r="G114" s="4"/>
      <c r="H114" s="9"/>
      <c r="I114" s="9"/>
    </row>
    <row r="115" spans="1:9" ht="12.75" customHeight="1" hidden="1">
      <c r="A115" s="102"/>
      <c r="B115" s="4" t="s">
        <v>8</v>
      </c>
      <c r="C115" s="4"/>
      <c r="D115" s="4"/>
      <c r="E115" s="4"/>
      <c r="F115" s="4"/>
      <c r="G115" s="4"/>
      <c r="H115" s="9"/>
      <c r="I115" s="9"/>
    </row>
    <row r="116" spans="1:9" ht="12.75" customHeight="1" hidden="1">
      <c r="A116" s="102"/>
      <c r="B116" s="4" t="s">
        <v>11</v>
      </c>
      <c r="C116" s="4"/>
      <c r="D116" s="4"/>
      <c r="E116" s="4"/>
      <c r="F116" s="4"/>
      <c r="G116" s="4"/>
      <c r="H116" s="9"/>
      <c r="I116" s="9"/>
    </row>
    <row r="117" spans="1:9" ht="12.75" customHeight="1" hidden="1">
      <c r="A117" s="102"/>
      <c r="B117" s="4" t="s">
        <v>9</v>
      </c>
      <c r="C117" s="4"/>
      <c r="D117" s="4"/>
      <c r="E117" s="4"/>
      <c r="F117" s="4"/>
      <c r="G117" s="4"/>
      <c r="H117" s="9"/>
      <c r="I117" s="9"/>
    </row>
    <row r="118" spans="1:9" ht="12.75" customHeight="1" hidden="1">
      <c r="A118" s="102"/>
      <c r="B118" s="4" t="s">
        <v>10</v>
      </c>
      <c r="C118" s="4"/>
      <c r="D118" s="4"/>
      <c r="E118" s="4"/>
      <c r="F118" s="4"/>
      <c r="G118" s="4"/>
      <c r="H118" s="9"/>
      <c r="I118" s="9"/>
    </row>
    <row r="119" spans="1:9" ht="12.75">
      <c r="A119" s="102"/>
      <c r="B119" s="4" t="s">
        <v>20</v>
      </c>
      <c r="C119" s="4"/>
      <c r="D119" s="4"/>
      <c r="E119" s="4"/>
      <c r="F119" s="4"/>
      <c r="G119" s="4"/>
      <c r="H119" s="9">
        <f>H101*1.07</f>
        <v>1669650.4638669314</v>
      </c>
      <c r="I119" s="9"/>
    </row>
    <row r="120" spans="2:14" ht="15.75">
      <c r="B120" s="5" t="s">
        <v>12</v>
      </c>
      <c r="C120" s="5"/>
      <c r="D120" s="5"/>
      <c r="E120" s="5"/>
      <c r="F120" s="5"/>
      <c r="G120" s="5"/>
      <c r="H120" s="14">
        <f>H107-H119</f>
        <v>6589442.655825871</v>
      </c>
      <c r="I120" s="14"/>
      <c r="L120">
        <f>L101-6.8</f>
        <v>-6.8</v>
      </c>
      <c r="M120">
        <v>5</v>
      </c>
      <c r="N120">
        <f>L120*5%</f>
        <v>-0.34</v>
      </c>
    </row>
    <row r="121" spans="2:9" ht="12.75" hidden="1"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102" t="s">
        <v>38</v>
      </c>
      <c r="B122" s="4"/>
      <c r="C122" s="4"/>
      <c r="D122" s="4" t="s">
        <v>3</v>
      </c>
      <c r="E122" s="36" t="s">
        <v>34</v>
      </c>
      <c r="F122" s="4"/>
      <c r="G122" s="4"/>
      <c r="H122" s="4" t="s">
        <v>0</v>
      </c>
      <c r="I122" s="4"/>
    </row>
    <row r="123" spans="1:9" ht="14.25" customHeight="1">
      <c r="A123" s="102"/>
      <c r="B123" s="4" t="s">
        <v>1</v>
      </c>
      <c r="C123" s="4"/>
      <c r="D123" s="7">
        <v>220</v>
      </c>
      <c r="E123" s="30">
        <f>E107*1.07</f>
        <v>110.05267295232004</v>
      </c>
      <c r="F123" s="4"/>
      <c r="G123" s="4"/>
      <c r="H123" s="25">
        <f>D123*E123*365</f>
        <v>8837229.638071299</v>
      </c>
      <c r="I123" s="9"/>
    </row>
    <row r="124" spans="1:9" ht="14.25" customHeight="1" hidden="1">
      <c r="A124" s="102"/>
      <c r="B124" s="97" t="s">
        <v>16</v>
      </c>
      <c r="C124" s="98"/>
      <c r="D124" s="98"/>
      <c r="E124" s="98"/>
      <c r="F124" s="98"/>
      <c r="G124" s="98"/>
      <c r="H124" s="101"/>
      <c r="I124" s="12"/>
    </row>
    <row r="125" spans="1:9" ht="12.75" customHeight="1" hidden="1">
      <c r="A125" s="102"/>
      <c r="B125" s="4" t="s">
        <v>19</v>
      </c>
      <c r="C125" s="4"/>
      <c r="D125" s="4"/>
      <c r="E125" s="4"/>
      <c r="F125" s="4"/>
      <c r="G125" s="4"/>
      <c r="H125" s="10">
        <v>1650000</v>
      </c>
      <c r="I125" s="4"/>
    </row>
    <row r="126" spans="1:9" ht="12.75" customHeight="1" hidden="1">
      <c r="A126" s="102"/>
      <c r="B126" s="4" t="s">
        <v>5</v>
      </c>
      <c r="C126" s="4" t="s">
        <v>6</v>
      </c>
      <c r="D126" s="4"/>
      <c r="E126" s="4"/>
      <c r="F126" s="4"/>
      <c r="G126" s="4"/>
      <c r="H126" s="9"/>
      <c r="I126" s="9">
        <f>H126*1</f>
        <v>0</v>
      </c>
    </row>
    <row r="127" spans="1:9" ht="12.75" customHeight="1" hidden="1">
      <c r="A127" s="102"/>
      <c r="B127" s="4" t="s">
        <v>15</v>
      </c>
      <c r="C127" s="4"/>
      <c r="D127" s="4"/>
      <c r="E127" s="4"/>
      <c r="F127" s="4"/>
      <c r="G127" s="4"/>
      <c r="H127" s="9"/>
      <c r="I127" s="9">
        <f>H127</f>
        <v>0</v>
      </c>
    </row>
    <row r="128" spans="1:9" ht="12.75" customHeight="1" hidden="1">
      <c r="A128" s="102"/>
      <c r="B128" s="4" t="s">
        <v>17</v>
      </c>
      <c r="C128" s="4"/>
      <c r="D128" s="4"/>
      <c r="E128" s="4"/>
      <c r="F128" s="4"/>
      <c r="G128" s="4"/>
      <c r="H128" s="9"/>
      <c r="I128" s="9"/>
    </row>
    <row r="129" spans="1:9" ht="12.75" customHeight="1" hidden="1">
      <c r="A129" s="102"/>
      <c r="B129" s="4" t="s">
        <v>13</v>
      </c>
      <c r="C129" s="4" t="s">
        <v>14</v>
      </c>
      <c r="D129" s="4"/>
      <c r="E129" s="4"/>
      <c r="F129" s="4"/>
      <c r="G129" s="4"/>
      <c r="H129" s="9"/>
      <c r="I129" s="9"/>
    </row>
    <row r="130" spans="1:9" ht="12.75" customHeight="1" hidden="1">
      <c r="A130" s="102"/>
      <c r="B130" s="4" t="s">
        <v>7</v>
      </c>
      <c r="C130" s="4"/>
      <c r="D130" s="4"/>
      <c r="E130" s="4"/>
      <c r="F130" s="4"/>
      <c r="G130" s="4"/>
      <c r="H130" s="9"/>
      <c r="I130" s="9"/>
    </row>
    <row r="131" spans="1:9" ht="12.75" customHeight="1" hidden="1">
      <c r="A131" s="102"/>
      <c r="B131" s="4" t="s">
        <v>8</v>
      </c>
      <c r="C131" s="4"/>
      <c r="D131" s="4"/>
      <c r="E131" s="4"/>
      <c r="F131" s="4"/>
      <c r="G131" s="4"/>
      <c r="H131" s="9"/>
      <c r="I131" s="9"/>
    </row>
    <row r="132" spans="1:9" ht="12.75" customHeight="1" hidden="1">
      <c r="A132" s="102"/>
      <c r="B132" s="4" t="s">
        <v>11</v>
      </c>
      <c r="C132" s="4"/>
      <c r="D132" s="4"/>
      <c r="E132" s="4"/>
      <c r="F132" s="4"/>
      <c r="G132" s="4"/>
      <c r="H132" s="9"/>
      <c r="I132" s="9"/>
    </row>
    <row r="133" spans="1:9" ht="12.75" customHeight="1" hidden="1">
      <c r="A133" s="102"/>
      <c r="B133" s="4" t="s">
        <v>9</v>
      </c>
      <c r="C133" s="4"/>
      <c r="D133" s="4"/>
      <c r="E133" s="4"/>
      <c r="F133" s="4"/>
      <c r="G133" s="4"/>
      <c r="H133" s="9"/>
      <c r="I133" s="9"/>
    </row>
    <row r="134" spans="1:9" ht="12.75" customHeight="1" hidden="1">
      <c r="A134" s="102"/>
      <c r="B134" s="4" t="s">
        <v>10</v>
      </c>
      <c r="C134" s="4"/>
      <c r="D134" s="4"/>
      <c r="E134" s="4"/>
      <c r="F134" s="4"/>
      <c r="G134" s="4"/>
      <c r="H134" s="9"/>
      <c r="I134" s="9"/>
    </row>
    <row r="135" spans="1:9" ht="12.75">
      <c r="A135" s="102"/>
      <c r="B135" s="4" t="s">
        <v>20</v>
      </c>
      <c r="C135" s="4"/>
      <c r="D135" s="4"/>
      <c r="E135" s="4"/>
      <c r="F135" s="4"/>
      <c r="G135" s="4"/>
      <c r="H135" s="9">
        <f>H119*1.07</f>
        <v>1786525.9963376166</v>
      </c>
      <c r="I135" s="9"/>
    </row>
    <row r="136" spans="2:14" ht="15.75">
      <c r="B136" s="5" t="s">
        <v>12</v>
      </c>
      <c r="C136" s="5"/>
      <c r="D136" s="5"/>
      <c r="E136" s="5"/>
      <c r="F136" s="5"/>
      <c r="G136" s="5"/>
      <c r="H136" s="14">
        <f>H123-H135</f>
        <v>7050703.641733682</v>
      </c>
      <c r="I136" s="14"/>
      <c r="L136">
        <f>L117-6.8</f>
        <v>-6.8</v>
      </c>
      <c r="M136">
        <v>5</v>
      </c>
      <c r="N136">
        <f>L136*5%</f>
        <v>-0.34</v>
      </c>
    </row>
    <row r="138" spans="1:9" ht="12.75">
      <c r="A138" s="102" t="s">
        <v>50</v>
      </c>
      <c r="B138" s="4"/>
      <c r="C138" s="4"/>
      <c r="D138" s="4" t="s">
        <v>3</v>
      </c>
      <c r="E138" s="36" t="s">
        <v>34</v>
      </c>
      <c r="F138" s="4"/>
      <c r="G138" s="4"/>
      <c r="H138" s="4" t="s">
        <v>0</v>
      </c>
      <c r="I138" s="4"/>
    </row>
    <row r="139" spans="1:9" ht="14.25" customHeight="1">
      <c r="A139" s="102"/>
      <c r="B139" s="4" t="s">
        <v>1</v>
      </c>
      <c r="C139" s="4"/>
      <c r="D139" s="7">
        <v>225</v>
      </c>
      <c r="E139" s="30">
        <f>E123*1.06</f>
        <v>116.65583332945924</v>
      </c>
      <c r="F139" s="4"/>
      <c r="G139" s="4"/>
      <c r="H139" s="25">
        <f>D139*E139*365</f>
        <v>9580360.31218184</v>
      </c>
      <c r="I139" s="9"/>
    </row>
    <row r="140" spans="1:9" ht="14.25" customHeight="1" hidden="1">
      <c r="A140" s="102"/>
      <c r="B140" s="97" t="s">
        <v>16</v>
      </c>
      <c r="C140" s="98"/>
      <c r="D140" s="98"/>
      <c r="E140" s="98"/>
      <c r="F140" s="98"/>
      <c r="G140" s="98"/>
      <c r="H140" s="101"/>
      <c r="I140" s="12"/>
    </row>
    <row r="141" spans="1:9" ht="12.75" customHeight="1" hidden="1">
      <c r="A141" s="102"/>
      <c r="B141" s="4" t="s">
        <v>19</v>
      </c>
      <c r="C141" s="4"/>
      <c r="D141" s="4"/>
      <c r="E141" s="4"/>
      <c r="F141" s="4"/>
      <c r="G141" s="4"/>
      <c r="H141" s="10">
        <v>1650000</v>
      </c>
      <c r="I141" s="4"/>
    </row>
    <row r="142" spans="1:9" ht="12.75" customHeight="1" hidden="1">
      <c r="A142" s="102"/>
      <c r="B142" s="4" t="s">
        <v>5</v>
      </c>
      <c r="C142" s="4" t="s">
        <v>6</v>
      </c>
      <c r="D142" s="4"/>
      <c r="E142" s="4"/>
      <c r="F142" s="4"/>
      <c r="G142" s="4"/>
      <c r="H142" s="9"/>
      <c r="I142" s="9">
        <f>H142*1</f>
        <v>0</v>
      </c>
    </row>
    <row r="143" spans="1:9" ht="12.75" customHeight="1" hidden="1">
      <c r="A143" s="102"/>
      <c r="B143" s="4" t="s">
        <v>15</v>
      </c>
      <c r="C143" s="4"/>
      <c r="D143" s="4"/>
      <c r="E143" s="4"/>
      <c r="F143" s="4"/>
      <c r="G143" s="4"/>
      <c r="H143" s="9"/>
      <c r="I143" s="9">
        <f>H143</f>
        <v>0</v>
      </c>
    </row>
    <row r="144" spans="1:9" ht="12.75" customHeight="1" hidden="1">
      <c r="A144" s="102"/>
      <c r="B144" s="4" t="s">
        <v>17</v>
      </c>
      <c r="C144" s="4"/>
      <c r="D144" s="4"/>
      <c r="E144" s="4"/>
      <c r="F144" s="4"/>
      <c r="G144" s="4"/>
      <c r="H144" s="9"/>
      <c r="I144" s="9"/>
    </row>
    <row r="145" spans="1:9" ht="12.75" customHeight="1" hidden="1">
      <c r="A145" s="102"/>
      <c r="B145" s="4" t="s">
        <v>13</v>
      </c>
      <c r="C145" s="4" t="s">
        <v>14</v>
      </c>
      <c r="D145" s="4"/>
      <c r="E145" s="4"/>
      <c r="F145" s="4"/>
      <c r="G145" s="4"/>
      <c r="H145" s="9"/>
      <c r="I145" s="9"/>
    </row>
    <row r="146" spans="1:9" ht="12.75" customHeight="1" hidden="1">
      <c r="A146" s="102"/>
      <c r="B146" s="4" t="s">
        <v>7</v>
      </c>
      <c r="C146" s="4"/>
      <c r="D146" s="4"/>
      <c r="E146" s="4"/>
      <c r="F146" s="4"/>
      <c r="G146" s="4"/>
      <c r="H146" s="9"/>
      <c r="I146" s="9"/>
    </row>
    <row r="147" spans="1:9" ht="12.75" customHeight="1" hidden="1">
      <c r="A147" s="102"/>
      <c r="B147" s="4" t="s">
        <v>8</v>
      </c>
      <c r="C147" s="4"/>
      <c r="D147" s="4"/>
      <c r="E147" s="4"/>
      <c r="F147" s="4"/>
      <c r="G147" s="4"/>
      <c r="H147" s="9"/>
      <c r="I147" s="9"/>
    </row>
    <row r="148" spans="1:9" ht="12.75" customHeight="1" hidden="1">
      <c r="A148" s="102"/>
      <c r="B148" s="4" t="s">
        <v>11</v>
      </c>
      <c r="C148" s="4"/>
      <c r="D148" s="4"/>
      <c r="E148" s="4"/>
      <c r="F148" s="4"/>
      <c r="G148" s="4"/>
      <c r="H148" s="9"/>
      <c r="I148" s="9"/>
    </row>
    <row r="149" spans="1:9" ht="12.75" customHeight="1" hidden="1">
      <c r="A149" s="102"/>
      <c r="B149" s="4" t="s">
        <v>9</v>
      </c>
      <c r="C149" s="4"/>
      <c r="D149" s="4"/>
      <c r="E149" s="4"/>
      <c r="F149" s="4"/>
      <c r="G149" s="4"/>
      <c r="H149" s="9"/>
      <c r="I149" s="9"/>
    </row>
    <row r="150" spans="1:9" ht="12.75" customHeight="1" hidden="1">
      <c r="A150" s="102"/>
      <c r="B150" s="4" t="s">
        <v>10</v>
      </c>
      <c r="C150" s="4"/>
      <c r="D150" s="4"/>
      <c r="E150" s="4"/>
      <c r="F150" s="4"/>
      <c r="G150" s="4"/>
      <c r="H150" s="9"/>
      <c r="I150" s="9"/>
    </row>
    <row r="151" spans="1:9" ht="12.75">
      <c r="A151" s="102"/>
      <c r="B151" s="4" t="s">
        <v>20</v>
      </c>
      <c r="C151" s="4"/>
      <c r="D151" s="4"/>
      <c r="E151" s="4"/>
      <c r="F151" s="4"/>
      <c r="G151" s="4"/>
      <c r="H151" s="9">
        <f>H135*1.08</f>
        <v>1929448.076044626</v>
      </c>
      <c r="I151" s="9"/>
    </row>
    <row r="152" spans="2:14" ht="15.75">
      <c r="B152" s="5" t="s">
        <v>12</v>
      </c>
      <c r="C152" s="5"/>
      <c r="D152" s="5"/>
      <c r="E152" s="5"/>
      <c r="F152" s="5"/>
      <c r="G152" s="5"/>
      <c r="H152" s="14">
        <f>H139-H151</f>
        <v>7650912.236137213</v>
      </c>
      <c r="I152" s="14"/>
      <c r="L152">
        <f>L133-6.8</f>
        <v>-6.8</v>
      </c>
      <c r="M152">
        <v>5</v>
      </c>
      <c r="N152">
        <f>L152*5%</f>
        <v>-0.34</v>
      </c>
    </row>
    <row r="154" spans="1:9" ht="12.75">
      <c r="A154" s="102" t="s">
        <v>49</v>
      </c>
      <c r="B154" s="4"/>
      <c r="C154" s="4"/>
      <c r="D154" s="4" t="s">
        <v>3</v>
      </c>
      <c r="E154" s="36" t="s">
        <v>34</v>
      </c>
      <c r="F154" s="4"/>
      <c r="G154" s="4"/>
      <c r="H154" s="4" t="s">
        <v>0</v>
      </c>
      <c r="I154" s="4"/>
    </row>
    <row r="155" spans="1:9" ht="14.25" customHeight="1">
      <c r="A155" s="102"/>
      <c r="B155" s="4" t="s">
        <v>1</v>
      </c>
      <c r="C155" s="4"/>
      <c r="D155" s="7">
        <v>225</v>
      </c>
      <c r="E155" s="30">
        <f>E139*1.06</f>
        <v>123.6551833292268</v>
      </c>
      <c r="F155" s="4"/>
      <c r="G155" s="4"/>
      <c r="H155" s="25">
        <f>D155*E155*365</f>
        <v>10155181.930912752</v>
      </c>
      <c r="I155" s="9"/>
    </row>
    <row r="156" spans="1:9" ht="14.25" customHeight="1" hidden="1">
      <c r="A156" s="102"/>
      <c r="B156" s="97" t="s">
        <v>16</v>
      </c>
      <c r="C156" s="98"/>
      <c r="D156" s="98"/>
      <c r="E156" s="98"/>
      <c r="F156" s="98"/>
      <c r="G156" s="98"/>
      <c r="H156" s="101"/>
      <c r="I156" s="12"/>
    </row>
    <row r="157" spans="1:9" ht="12.75" customHeight="1" hidden="1">
      <c r="A157" s="102"/>
      <c r="B157" s="4" t="s">
        <v>19</v>
      </c>
      <c r="C157" s="4"/>
      <c r="D157" s="4"/>
      <c r="E157" s="4"/>
      <c r="F157" s="4"/>
      <c r="G157" s="4"/>
      <c r="H157" s="10">
        <v>1650000</v>
      </c>
      <c r="I157" s="4"/>
    </row>
    <row r="158" spans="1:9" ht="12.75" customHeight="1" hidden="1">
      <c r="A158" s="102"/>
      <c r="B158" s="4" t="s">
        <v>5</v>
      </c>
      <c r="C158" s="4" t="s">
        <v>6</v>
      </c>
      <c r="D158" s="4"/>
      <c r="E158" s="4"/>
      <c r="F158" s="4"/>
      <c r="G158" s="4"/>
      <c r="H158" s="9"/>
      <c r="I158" s="9">
        <f>H158*1</f>
        <v>0</v>
      </c>
    </row>
    <row r="159" spans="1:9" ht="12.75" customHeight="1" hidden="1">
      <c r="A159" s="102"/>
      <c r="B159" s="4" t="s">
        <v>15</v>
      </c>
      <c r="C159" s="4"/>
      <c r="D159" s="4"/>
      <c r="E159" s="4"/>
      <c r="F159" s="4"/>
      <c r="G159" s="4"/>
      <c r="H159" s="9"/>
      <c r="I159" s="9">
        <f>H159</f>
        <v>0</v>
      </c>
    </row>
    <row r="160" spans="1:9" ht="12.75" customHeight="1" hidden="1">
      <c r="A160" s="102"/>
      <c r="B160" s="4" t="s">
        <v>17</v>
      </c>
      <c r="C160" s="4"/>
      <c r="D160" s="4"/>
      <c r="E160" s="4"/>
      <c r="F160" s="4"/>
      <c r="G160" s="4"/>
      <c r="H160" s="9"/>
      <c r="I160" s="9"/>
    </row>
    <row r="161" spans="1:9" ht="12.75" customHeight="1" hidden="1">
      <c r="A161" s="102"/>
      <c r="B161" s="4" t="s">
        <v>13</v>
      </c>
      <c r="C161" s="4" t="s">
        <v>14</v>
      </c>
      <c r="D161" s="4"/>
      <c r="E161" s="4"/>
      <c r="F161" s="4"/>
      <c r="G161" s="4"/>
      <c r="H161" s="9"/>
      <c r="I161" s="9"/>
    </row>
    <row r="162" spans="1:9" ht="12.75" customHeight="1" hidden="1">
      <c r="A162" s="102"/>
      <c r="B162" s="4" t="s">
        <v>7</v>
      </c>
      <c r="C162" s="4"/>
      <c r="D162" s="4"/>
      <c r="E162" s="4"/>
      <c r="F162" s="4"/>
      <c r="G162" s="4"/>
      <c r="H162" s="9"/>
      <c r="I162" s="9"/>
    </row>
    <row r="163" spans="1:9" ht="12.75" customHeight="1" hidden="1">
      <c r="A163" s="102"/>
      <c r="B163" s="4" t="s">
        <v>8</v>
      </c>
      <c r="C163" s="4"/>
      <c r="D163" s="4"/>
      <c r="E163" s="4"/>
      <c r="F163" s="4"/>
      <c r="G163" s="4"/>
      <c r="H163" s="9"/>
      <c r="I163" s="9"/>
    </row>
    <row r="164" spans="1:9" ht="12.75" customHeight="1" hidden="1">
      <c r="A164" s="102"/>
      <c r="B164" s="4" t="s">
        <v>11</v>
      </c>
      <c r="C164" s="4"/>
      <c r="D164" s="4"/>
      <c r="E164" s="4"/>
      <c r="F164" s="4"/>
      <c r="G164" s="4"/>
      <c r="H164" s="9"/>
      <c r="I164" s="9"/>
    </row>
    <row r="165" spans="1:9" ht="12.75" customHeight="1" hidden="1">
      <c r="A165" s="102"/>
      <c r="B165" s="4" t="s">
        <v>9</v>
      </c>
      <c r="C165" s="4"/>
      <c r="D165" s="4"/>
      <c r="E165" s="4"/>
      <c r="F165" s="4"/>
      <c r="G165" s="4"/>
      <c r="H165" s="9"/>
      <c r="I165" s="9"/>
    </row>
    <row r="166" spans="1:9" ht="12.75" customHeight="1" hidden="1">
      <c r="A166" s="102"/>
      <c r="B166" s="4" t="s">
        <v>10</v>
      </c>
      <c r="C166" s="4"/>
      <c r="D166" s="4"/>
      <c r="E166" s="4"/>
      <c r="F166" s="4"/>
      <c r="G166" s="4"/>
      <c r="H166" s="9"/>
      <c r="I166" s="9"/>
    </row>
    <row r="167" spans="1:9" ht="12.75">
      <c r="A167" s="102"/>
      <c r="B167" s="4" t="s">
        <v>20</v>
      </c>
      <c r="C167" s="4"/>
      <c r="D167" s="4"/>
      <c r="E167" s="4"/>
      <c r="F167" s="4"/>
      <c r="G167" s="4"/>
      <c r="H167" s="9">
        <f>H151*1.08</f>
        <v>2083803.9221281963</v>
      </c>
      <c r="I167" s="9"/>
    </row>
    <row r="168" spans="2:14" ht="15.75">
      <c r="B168" s="5" t="s">
        <v>12</v>
      </c>
      <c r="C168" s="5"/>
      <c r="D168" s="5"/>
      <c r="E168" s="5"/>
      <c r="F168" s="5"/>
      <c r="G168" s="5"/>
      <c r="H168" s="14">
        <f>H155-H167</f>
        <v>8071378.008784555</v>
      </c>
      <c r="I168" s="14"/>
      <c r="L168">
        <f>L149-6.8</f>
        <v>-6.8</v>
      </c>
      <c r="M168">
        <v>5</v>
      </c>
      <c r="N168">
        <f>L168*5%</f>
        <v>-0.34</v>
      </c>
    </row>
    <row r="169" spans="2:8" ht="12.75">
      <c r="B169" s="100" t="s">
        <v>43</v>
      </c>
      <c r="C169" s="100"/>
      <c r="D169" s="100"/>
      <c r="E169" s="100"/>
      <c r="F169" s="100"/>
      <c r="G169" s="100"/>
      <c r="H169" s="100"/>
    </row>
    <row r="171" spans="2:8" ht="60.75" customHeight="1">
      <c r="B171" s="84" t="s">
        <v>52</v>
      </c>
      <c r="C171" s="84"/>
      <c r="D171" s="84"/>
      <c r="E171" s="84"/>
      <c r="F171" s="84"/>
      <c r="G171" s="84"/>
      <c r="H171" s="84"/>
    </row>
  </sheetData>
  <sheetProtection/>
  <mergeCells count="17">
    <mergeCell ref="A154:A167"/>
    <mergeCell ref="B1:I1"/>
    <mergeCell ref="B20:E20"/>
    <mergeCell ref="B91:H91"/>
    <mergeCell ref="B108:H108"/>
    <mergeCell ref="B124:H124"/>
    <mergeCell ref="B140:H140"/>
    <mergeCell ref="B171:H171"/>
    <mergeCell ref="B156:H156"/>
    <mergeCell ref="B169:H169"/>
    <mergeCell ref="A43:A53"/>
    <mergeCell ref="A58:A70"/>
    <mergeCell ref="A73:A85"/>
    <mergeCell ref="A89:A101"/>
    <mergeCell ref="A106:A119"/>
    <mergeCell ref="A122:A135"/>
    <mergeCell ref="A138:A151"/>
  </mergeCells>
  <printOptions/>
  <pageMargins left="0.7086614173228347" right="0.11811023622047245" top="0.38" bottom="0.2755905511811024" header="0.15748031496062992" footer="0.196850393700787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Olya</cp:lastModifiedBy>
  <cp:lastPrinted>2010-05-03T08:18:29Z</cp:lastPrinted>
  <dcterms:created xsi:type="dcterms:W3CDTF">2003-01-28T12:33:10Z</dcterms:created>
  <dcterms:modified xsi:type="dcterms:W3CDTF">2010-05-03T08:19:56Z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